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der.local\datos\Eder\EDLP 2023_2027\10_Manual y plantillas procedimiento\Plantillas convocatoria 2024_2ª Convocatoria\BAREMACIÓN DEFINITIVA 2ª CONV\"/>
    </mc:Choice>
  </mc:AlternateContent>
  <xr:revisionPtr revIDLastSave="0" documentId="13_ncr:1_{0E098D35-2FCC-4EB0-80D6-20BF6863DF4D}" xr6:coauthVersionLast="47" xr6:coauthVersionMax="47" xr10:uidLastSave="{00000000-0000-0000-0000-000000000000}"/>
  <workbookProtection workbookAlgorithmName="SHA-512" workbookHashValue="KaVUpT0hOmo41PdrbICCanx0pXWGHVahrvXdLa0SoOX+rjUENhojJsy123uW1n7ZNonyad5V/827Lmp3ml1kfQ==" workbookSaltValue="TX2Usz5uaVqsdK7KVym6vg==" workbookSpinCount="100000" lockStructure="1"/>
  <bookViews>
    <workbookView xWindow="-108" yWindow="-108" windowWidth="20376" windowHeight="12216" xr2:uid="{AC65B066-6B16-4DA7-A6A6-82E9AA770405}"/>
  </bookViews>
  <sheets>
    <sheet name="BAREMACIÓN PROYECTO" sheetId="1" r:id="rId1"/>
    <sheet name="Referencias NO Productivos" sheetId="2" state="hidden" r:id="rId2"/>
    <sheet name="Hoja1" sheetId="3" state="hidden" r:id="rId3"/>
  </sheets>
  <definedNames>
    <definedName name="_xlnm.Print_Area" localSheetId="0">'BAREMACIÓN PROYECTO'!$A$1:$J$203</definedName>
    <definedName name="_xlnm.Print_Titles" localSheetId="0">'BAREMACIÓN PROYECTO'!$1:$11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0" i="2" l="1"/>
  <c r="H114" i="1"/>
  <c r="H100" i="1"/>
  <c r="H170" i="1"/>
  <c r="H172" i="1"/>
  <c r="H79" i="1"/>
  <c r="I79" i="1" s="1"/>
  <c r="I81" i="1" s="1"/>
  <c r="H14" i="1"/>
  <c r="H160" i="1"/>
  <c r="H158" i="1"/>
  <c r="G81" i="1" l="1"/>
  <c r="H42" i="1"/>
  <c r="AH35" i="2"/>
  <c r="AG35" i="2" s="1"/>
  <c r="I75" i="1" s="1"/>
  <c r="I187" i="1" s="1"/>
  <c r="I72" i="1"/>
  <c r="I64" i="1"/>
  <c r="H70" i="1"/>
  <c r="H68" i="1"/>
  <c r="H66" i="1"/>
  <c r="H62" i="1"/>
  <c r="H56" i="1" l="1"/>
  <c r="H60" i="1"/>
  <c r="H58" i="1"/>
  <c r="H54" i="1"/>
  <c r="H52" i="1"/>
  <c r="H50" i="1"/>
  <c r="H48" i="1"/>
  <c r="H46" i="1"/>
  <c r="H44" i="1"/>
  <c r="G64" i="1" l="1"/>
  <c r="G72" i="1"/>
  <c r="H20" i="1"/>
  <c r="H91" i="1" l="1"/>
  <c r="H89" i="1"/>
  <c r="N174" i="1"/>
  <c r="K174" i="1"/>
  <c r="H168" i="1"/>
  <c r="H162" i="1"/>
  <c r="H120" i="1"/>
  <c r="G122" i="1" s="1"/>
  <c r="N164" i="1"/>
  <c r="K164" i="1"/>
  <c r="N166" i="1"/>
  <c r="K166" i="1"/>
  <c r="H138" i="1"/>
  <c r="N156" i="1"/>
  <c r="K156" i="1"/>
  <c r="H154" i="1"/>
  <c r="H152" i="1"/>
  <c r="H150" i="1"/>
  <c r="H148" i="1"/>
  <c r="H146" i="1"/>
  <c r="H144" i="1"/>
  <c r="H142" i="1"/>
  <c r="H140" i="1"/>
  <c r="N136" i="1"/>
  <c r="K136" i="1"/>
  <c r="H134" i="1"/>
  <c r="H132" i="1"/>
  <c r="H130" i="1"/>
  <c r="H128" i="1"/>
  <c r="H126" i="1"/>
  <c r="H110" i="1"/>
  <c r="H116" i="1"/>
  <c r="H112" i="1"/>
  <c r="H106" i="1"/>
  <c r="H102" i="1"/>
  <c r="N87" i="1"/>
  <c r="N93" i="1" s="1"/>
  <c r="K87" i="1"/>
  <c r="K93" i="1" s="1"/>
  <c r="N81" i="1"/>
  <c r="K81" i="1"/>
  <c r="H85" i="1"/>
  <c r="I85" i="1" s="1"/>
  <c r="H83" i="1"/>
  <c r="I83" i="1" s="1"/>
  <c r="H26" i="1"/>
  <c r="I118" i="1" l="1"/>
  <c r="G118" i="1"/>
  <c r="G124" i="1" s="1"/>
  <c r="G93" i="1"/>
  <c r="G174" i="1"/>
  <c r="I174" i="1"/>
  <c r="I108" i="1"/>
  <c r="G108" i="1"/>
  <c r="I156" i="1"/>
  <c r="G156" i="1"/>
  <c r="I136" i="1"/>
  <c r="G136" i="1"/>
  <c r="I164" i="1"/>
  <c r="G164" i="1"/>
  <c r="I93" i="1"/>
  <c r="G87" i="1"/>
  <c r="I87" i="1"/>
  <c r="I166" i="1" l="1"/>
  <c r="I96" i="1"/>
  <c r="I189" i="1" s="1"/>
  <c r="G166" i="1"/>
  <c r="H32" i="1"/>
  <c r="I34" i="1" s="1"/>
  <c r="H28" i="1"/>
  <c r="I30" i="1" s="1"/>
  <c r="H22" i="1"/>
  <c r="H16" i="1"/>
  <c r="G18" i="1" s="1"/>
  <c r="I18" i="1" l="1"/>
  <c r="G34" i="1"/>
  <c r="I24" i="1"/>
  <c r="G24" i="1"/>
  <c r="N177" i="1"/>
  <c r="K177" i="1"/>
  <c r="N122" i="1" l="1"/>
  <c r="N124" i="1" s="1"/>
  <c r="K122" i="1"/>
  <c r="K124" i="1" s="1"/>
  <c r="N108" i="1"/>
  <c r="K108" i="1"/>
  <c r="N118" i="1"/>
  <c r="K118" i="1"/>
  <c r="I122" i="1" l="1"/>
  <c r="I124" i="1" s="1"/>
  <c r="N34" i="1"/>
  <c r="K34" i="1"/>
  <c r="K37" i="1" s="1"/>
  <c r="N30" i="1"/>
  <c r="N24" i="1"/>
  <c r="N62" i="1"/>
  <c r="N60" i="1"/>
  <c r="N54" i="1"/>
  <c r="N46" i="1"/>
  <c r="N44" i="1"/>
  <c r="N42" i="1"/>
  <c r="I177" i="1" l="1"/>
  <c r="I191" i="1" s="1"/>
  <c r="N37" i="1"/>
  <c r="K95" i="1"/>
  <c r="K96" i="1"/>
  <c r="N95" i="1"/>
  <c r="N96" i="1"/>
  <c r="K42" i="1"/>
  <c r="K60" i="1"/>
  <c r="K46" i="1"/>
  <c r="K62" i="1"/>
  <c r="I37" i="1"/>
  <c r="I185" i="1" s="1"/>
  <c r="K70" i="1"/>
  <c r="N56" i="1"/>
  <c r="N70" i="1"/>
  <c r="N72" i="1" s="1"/>
  <c r="K44" i="1"/>
  <c r="K58" i="1"/>
  <c r="N58" i="1"/>
  <c r="N64" i="1" s="1"/>
  <c r="K54" i="1"/>
  <c r="I195" i="1" l="1"/>
  <c r="K72" i="1"/>
  <c r="K56" i="1"/>
  <c r="K64" i="1"/>
  <c r="N75" i="1"/>
  <c r="N195" i="1" s="1"/>
  <c r="K75" i="1" l="1"/>
  <c r="K195" i="1" s="1"/>
</calcChain>
</file>

<file path=xl/sharedStrings.xml><?xml version="1.0" encoding="utf-8"?>
<sst xmlns="http://schemas.openxmlformats.org/spreadsheetml/2006/main" count="716" uniqueCount="359">
  <si>
    <t>BAREMACIÓN</t>
  </si>
  <si>
    <t>Grupo de Acción Local Consorcio EDER - Ribera de Navarra</t>
  </si>
  <si>
    <t>NOTA: Aparece en rojo las discrepancias con el anexo presentado con el beneficiario.</t>
  </si>
  <si>
    <t>NOTA: Aparece en rojo las discrepancias con la revisión del Equipo Técnico del GAL Consorcio EDER</t>
  </si>
  <si>
    <t>NIF/CIF:</t>
  </si>
  <si>
    <t>Localidad:</t>
  </si>
  <si>
    <t>Nº de Expediente</t>
  </si>
  <si>
    <t>Puntuación máxima por Criterio</t>
  </si>
  <si>
    <t>Indicadores del proyecto (Unidades)</t>
  </si>
  <si>
    <t>Puntuación del  proyecto</t>
  </si>
  <si>
    <r>
      <rPr>
        <sz val="8"/>
        <color theme="1"/>
        <rFont val="Calibri"/>
        <family val="2"/>
        <scheme val="minor"/>
      </rPr>
      <t>COMPROBACIÓN</t>
    </r>
    <r>
      <rPr>
        <sz val="14"/>
        <color theme="1"/>
        <rFont val="Calibri"/>
        <family val="2"/>
        <scheme val="minor"/>
      </rPr>
      <t xml:space="preserve"> </t>
    </r>
    <r>
      <rPr>
        <b/>
        <sz val="20"/>
        <color theme="1"/>
        <rFont val="Calibri"/>
        <family val="2"/>
        <scheme val="minor"/>
      </rPr>
      <t>EDER</t>
    </r>
  </si>
  <si>
    <t>OBSERVACIONES</t>
  </si>
  <si>
    <r>
      <rPr>
        <sz val="8"/>
        <color theme="1"/>
        <rFont val="Calibri"/>
        <family val="2"/>
        <scheme val="minor"/>
      </rPr>
      <t>COMPROBACIÓN</t>
    </r>
    <r>
      <rPr>
        <sz val="18"/>
        <color theme="1"/>
        <rFont val="Calibri"/>
        <family val="2"/>
        <scheme val="minor"/>
      </rPr>
      <t xml:space="preserve"> </t>
    </r>
    <r>
      <rPr>
        <b/>
        <sz val="20"/>
        <color theme="1"/>
        <rFont val="Calibri"/>
        <family val="2"/>
        <scheme val="minor"/>
      </rPr>
      <t>SDR</t>
    </r>
  </si>
  <si>
    <t>4 puntos</t>
  </si>
  <si>
    <t>2 puntos</t>
  </si>
  <si>
    <t>Total Puntuación subcriterio:</t>
  </si>
  <si>
    <t>3 puntos</t>
  </si>
  <si>
    <t>1 punto</t>
  </si>
  <si>
    <t>0,50 puntos</t>
  </si>
  <si>
    <t>Puntuación Total Calificación del Territorio</t>
  </si>
  <si>
    <t>5 puntos</t>
  </si>
  <si>
    <t xml:space="preserve">Puntuación Total del proyecto </t>
  </si>
  <si>
    <t xml:space="preserve">Firmado: </t>
  </si>
  <si>
    <t>TOTAL</t>
  </si>
  <si>
    <t xml:space="preserve">EJECUCIÓN DE LA EDLP: AYUDAS A PROMOTORES PÚBLICOS Y PRIVADOS                                                                     </t>
  </si>
  <si>
    <t>Edad</t>
  </si>
  <si>
    <t>A.-Características de la persona solicitante. 15 puntos</t>
  </si>
  <si>
    <t>Género</t>
  </si>
  <si>
    <t>Ayudas LEADER</t>
  </si>
  <si>
    <t>TEMÁTICA</t>
  </si>
  <si>
    <t>CRITERIO SELECCIÓN</t>
  </si>
  <si>
    <t>UNIDAD</t>
  </si>
  <si>
    <t>PUNTUACIÓN</t>
  </si>
  <si>
    <t>EDAD</t>
  </si>
  <si>
    <t>JÓVENES</t>
  </si>
  <si>
    <t>COLECTIVOS VULNERABLES</t>
  </si>
  <si>
    <t>DESCRIPCIÓN</t>
  </si>
  <si>
    <t>MUJERES</t>
  </si>
  <si>
    <t>GÉNERO</t>
  </si>
  <si>
    <t>Beneficiario de 2 proyectos</t>
  </si>
  <si>
    <t>Beneficiario de 1 proyecto</t>
  </si>
  <si>
    <t>No ha sido beneficiario anteriormente</t>
  </si>
  <si>
    <t>Se priorizan cuya personas solicitante haya sido bneficiario de ayudas LEADER en el periodo 2023-2029</t>
  </si>
  <si>
    <t>AYUDAS LEADER</t>
  </si>
  <si>
    <t>BENEFICIARIO ANTERIOR</t>
  </si>
  <si>
    <t>Mujeres</t>
  </si>
  <si>
    <t>Puntuación máxima criterio 3 puntos</t>
  </si>
  <si>
    <t xml:space="preserve">Beneficiario anterior </t>
  </si>
  <si>
    <t>Población</t>
  </si>
  <si>
    <t>Tendencia poblacional 2010-2020</t>
  </si>
  <si>
    <t>1,5 puntos</t>
  </si>
  <si>
    <t>Zona Limitaciones Naturales</t>
  </si>
  <si>
    <t>Aislamiento General</t>
  </si>
  <si>
    <t>A.-Características de la persona solicitante. Máximo 15 puntos en grupo</t>
  </si>
  <si>
    <t>B.-Riesgo de despoblación y características del municipio donde se ubica el proyecto. Máximo 20 puntos en el grupo</t>
  </si>
  <si>
    <t>Población afiliada respecto a la población total</t>
  </si>
  <si>
    <t>Población afiliada en el sector agrario respecto al total de afiliaciones</t>
  </si>
  <si>
    <t xml:space="preserve">Nº de puestos de trabajo / 100                       </t>
  </si>
  <si>
    <t>Porcentaje de personas que se encuentran en paro respecto al total de personas activas.</t>
  </si>
  <si>
    <t>Superficie Natura 2000 respecto al total</t>
  </si>
  <si>
    <t>Catalogación del municipioo</t>
  </si>
  <si>
    <t>Población nacida en el extranjero entre el total de la población</t>
  </si>
  <si>
    <t>Nº de hombres por cada 100 mujeres</t>
  </si>
  <si>
    <t xml:space="preserve">Población mayor de 59 años entre el total de la población </t>
  </si>
  <si>
    <t>Población de 0 a 14 años entre el total de la población</t>
  </si>
  <si>
    <t>Nº de habitantes por km2</t>
  </si>
  <si>
    <t>Nº habitantes en 2020 respecto al Nº habitantes en 2010</t>
  </si>
  <si>
    <t>Nº de habitantes</t>
  </si>
  <si>
    <t xml:space="preserve">Emprendimiento </t>
  </si>
  <si>
    <t>Asociación</t>
  </si>
  <si>
    <t>Adhesión a asociaciones</t>
  </si>
  <si>
    <t>Carácter</t>
  </si>
  <si>
    <t>Proyectos cooperatios</t>
  </si>
  <si>
    <t>Comunicación e innovación digital</t>
  </si>
  <si>
    <t>Plan de difusión, divulgación y/o promoción</t>
  </si>
  <si>
    <t>Innovación y transformación digital</t>
  </si>
  <si>
    <t>Sostenibilidad ambiental</t>
  </si>
  <si>
    <t>inversiones y/o soluciones innovadoras en uso eficiente de recursos</t>
  </si>
  <si>
    <t>inversiones y/o soluciones innovadoras en empleo de subproductos</t>
  </si>
  <si>
    <t>inversiones y/o soluciones innovadoras en conservación de la naturaleza</t>
  </si>
  <si>
    <t>inversiones y/o soluciones innovadoras en educación ambiental</t>
  </si>
  <si>
    <t>Puntuación máxima criterio 2 puntos</t>
  </si>
  <si>
    <t>GRADUACIÓN DEL CRITERIO DE SELECCIÓN</t>
  </si>
  <si>
    <t>CRITERIO DE SELECCIÓN</t>
  </si>
  <si>
    <t>Nº</t>
  </si>
  <si>
    <t>Inversiones y/o instalaciones y uso y/o generación de energía renovable.</t>
  </si>
  <si>
    <t>Mejora de la calidad de vida</t>
  </si>
  <si>
    <t>Fomento del estilo de vida saludable</t>
  </si>
  <si>
    <t>Innovación y emprendimiento social</t>
  </si>
  <si>
    <t>Dirigido a jóvenes</t>
  </si>
  <si>
    <t>Dirigido a personas mayores</t>
  </si>
  <si>
    <t>Dirigido a colectivos vulnerables</t>
  </si>
  <si>
    <t>Mejora de accesibilidad</t>
  </si>
  <si>
    <t>Capacitación de RRHH</t>
  </si>
  <si>
    <t>Innovación social</t>
  </si>
  <si>
    <t>Inclusión social</t>
  </si>
  <si>
    <t>Otros</t>
  </si>
  <si>
    <t>Igualdad de oportunidades entre hombres y mujeres</t>
  </si>
  <si>
    <t>Acciones de divulgación</t>
  </si>
  <si>
    <t xml:space="preserve">Puntuación mínima para ser subvencionable: 30 puntos para  proyectos productivos </t>
  </si>
  <si>
    <t>Puntuación Total características de la persona solicitante</t>
  </si>
  <si>
    <t>Puntuación Total empleo, emprendimiento y cooperación</t>
  </si>
  <si>
    <t>SI</t>
  </si>
  <si>
    <t>NO</t>
  </si>
  <si>
    <r>
      <t xml:space="preserve">PERSONAS DE COLECTIVOS VULNERABLE 
- </t>
    </r>
    <r>
      <rPr>
        <sz val="8"/>
        <color theme="1"/>
        <rFont val="Calibri"/>
        <family val="2"/>
        <scheme val="minor"/>
      </rPr>
      <t>personas desempleadas de larga duración
- personas con discapacidad
- personas en situación o riesgo de exclusión social 
- personas perceptoras de Renta Garantizada o Ingreso Mínimo Vital 
- personas víctimas de violencia de género</t>
    </r>
  </si>
  <si>
    <t>Beneficiario de 3 o más proyectos</t>
  </si>
  <si>
    <t>Beneficiario/a en convocatorias LEADER anteriores
 (periodo 2023-2027) :</t>
  </si>
  <si>
    <t>EMPRENDIMIENTO</t>
  </si>
  <si>
    <t>Adhesiones</t>
  </si>
  <si>
    <t xml:space="preserve">Carácter </t>
  </si>
  <si>
    <r>
      <t>Empresa con carácter asociativo y/o de Eª social (</t>
    </r>
    <r>
      <rPr>
        <sz val="8"/>
        <color theme="1"/>
        <rFont val="Calibri"/>
        <family val="2"/>
        <scheme val="minor"/>
      </rPr>
      <t>SAT, Cooperativa, Sdad. Laboral, Eª de inserción sociolaboral o Centros especiales de empleo</t>
    </r>
    <r>
      <rPr>
        <sz val="11"/>
        <color theme="1"/>
        <rFont val="Calibri"/>
        <family val="2"/>
        <scheme val="minor"/>
      </rPr>
      <t>)</t>
    </r>
  </si>
  <si>
    <t>ASOCIACIÓN</t>
  </si>
  <si>
    <t>PROYECTOS COOPERATIVOS</t>
  </si>
  <si>
    <t>Colaboración Intersectorial (tipo de convenio)</t>
  </si>
  <si>
    <t>Cooperación (Nº de participantes)</t>
  </si>
  <si>
    <t>3 o más participantes</t>
  </si>
  <si>
    <t>2 participantes</t>
  </si>
  <si>
    <t>No cooperación</t>
  </si>
  <si>
    <t>COMUNICACIÓN E INNOVACIÓN DIGITAL</t>
  </si>
  <si>
    <t>Plan de difusión/divulgación</t>
  </si>
  <si>
    <t>Dispone de plan de difusión (medio de prensa comarcal + RRSS)</t>
  </si>
  <si>
    <t>Innovación de procesos</t>
  </si>
  <si>
    <t>Innovación de producto o servicios</t>
  </si>
  <si>
    <t>Transformación digital</t>
  </si>
  <si>
    <t>Sostenibilidad Ambiental</t>
  </si>
  <si>
    <t>Inversiones en Energías Renovables</t>
  </si>
  <si>
    <t>SOLUCIONES INNOVADORAS AL CUIDADO DEL MEDIO AMBIENTE</t>
  </si>
  <si>
    <t>MEJORA DE LA CALIDAD DE VIDA DE LA POBLACIÓN</t>
  </si>
  <si>
    <t>Promueve un estilo de vida saludable relacionado con la actividad física</t>
  </si>
  <si>
    <t xml:space="preserve">Promueve un estilo de vida saludable relacionado con el bienestar emocional </t>
  </si>
  <si>
    <t>Promueve un estilo de vida saludable relacionado con la prevención</t>
  </si>
  <si>
    <t>Incorpora acciones para sensibilizar y fomentar un estilo de vida saludable (relacionado con alimentación saludable, la actividad física, el bienestar emocional y/o prevención)</t>
  </si>
  <si>
    <t>Promueve un estilo de vida saludable relacionado con una alimentación saludable</t>
  </si>
  <si>
    <t>Incorpora acciones complementarias encaminadas a a sensibilizar  y fomentar un estilo de vida saludable</t>
  </si>
  <si>
    <t>Acciones complementarias relacionada con las temáticas anteriores</t>
  </si>
  <si>
    <t>Puntuación Total contribución del proyecto a los objetivos de la EDLP</t>
  </si>
  <si>
    <t>Conservación y/o mejora de inmuebles con protección y/o catalogación</t>
  </si>
  <si>
    <t>Conservacuón, mejora y divulgación del patrimonio cultural</t>
  </si>
  <si>
    <t>PORMOCIÓN DEL PATRIMONIO CULTURAL DEL TERRITORIO</t>
  </si>
  <si>
    <t>Puntuación máxima temática colectivos vulnerables 4 puntos</t>
  </si>
  <si>
    <t>Puntuación máxima temática género 4 puntos</t>
  </si>
  <si>
    <t>Puntuación máxima temática ayudas LEADER 3 puntos</t>
  </si>
  <si>
    <t>Total Puntuación temática:</t>
  </si>
  <si>
    <t>Puntuación máxima temática indicadores naturales 5 puntos</t>
  </si>
  <si>
    <t>Puntuación máxima temática Emprendimiento 10 puntos</t>
  </si>
  <si>
    <t xml:space="preserve">Elegir la localidad en la pestaña desplegable. En el caso de que el proyecto se desarrolle en varias localidades, la puntuación deberá ser consultada al personal de Consorcio EDER. </t>
  </si>
  <si>
    <t>DATOS DE LA PERSONA/ENTIDAD SOLICITANTE</t>
  </si>
  <si>
    <t>Nº de entidades participantes en proyecto de colaboración</t>
  </si>
  <si>
    <t>Nº de entidades participantes en proyecto de cooperación</t>
  </si>
  <si>
    <t>No colaboración</t>
  </si>
  <si>
    <t>Colaboración intersectorial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</si>
  <si>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</si>
  <si>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</si>
  <si>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</si>
  <si>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</si>
  <si>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</si>
  <si>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</si>
  <si>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</si>
  <si>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</si>
  <si>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</si>
  <si>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</si>
  <si>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</si>
  <si>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</si>
  <si>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</si>
  <si>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B15</t>
  </si>
  <si>
    <t>Inmigración 2020</t>
  </si>
  <si>
    <t>Tasa de paro 2020</t>
  </si>
  <si>
    <t>Afiliación a la SS en el sector agrario 2020</t>
  </si>
  <si>
    <t>Jóvenes  (&lt; o = 35 años)</t>
  </si>
  <si>
    <t>Puntuación máxima temática Edad - 4 puntos</t>
  </si>
  <si>
    <t>Densidad de población (hb/Km2) 2020</t>
  </si>
  <si>
    <t>Población joven 2020</t>
  </si>
  <si>
    <t>Índice de envejecimiento 2020</t>
  </si>
  <si>
    <t>Índice de masculinidad 2020</t>
  </si>
  <si>
    <t>Puestos de trabajo por cada 100 hab. 2020</t>
  </si>
  <si>
    <t>Afiliación a la SS respecto a población total 2020</t>
  </si>
  <si>
    <t>Tiempo de viaje en minutos municipios de más de 12.000 hab.</t>
  </si>
  <si>
    <t>Km2 Natura 2000</t>
  </si>
  <si>
    <t>3,25 puntos</t>
  </si>
  <si>
    <t>Media Ribera</t>
  </si>
  <si>
    <t>Puntuación máxima temática indicadores sociodemográficos y de empleo 15 puntos</t>
  </si>
  <si>
    <t>LOCALIDAD</t>
  </si>
  <si>
    <t>B 1-11</t>
  </si>
  <si>
    <t>B 12-15</t>
  </si>
  <si>
    <t>POBLACIÓN</t>
  </si>
  <si>
    <t>TENDENCIA POBLACIONAL (2010-2020)</t>
  </si>
  <si>
    <t>DENSIDAD DE POBLACIÓN</t>
  </si>
  <si>
    <t>POBLACIÓN JOVEN</t>
  </si>
  <si>
    <t>ENVEJECIMIENTO POBLACIÓN</t>
  </si>
  <si>
    <t>INDICE MASCULINIDAD</t>
  </si>
  <si>
    <t>INMIGRACIÓN</t>
  </si>
  <si>
    <t>TASA DE PARO</t>
  </si>
  <si>
    <t>PUESTOS TRABAJO POR CADA 100 HAB</t>
  </si>
  <si>
    <t>Afiliación a la SS</t>
  </si>
  <si>
    <t>Afiliación a la SS agraria</t>
  </si>
  <si>
    <t>PUNTUACIÓN TOTAL INDICADORES SOCIODEMOGRÁFICOS Y EMPLEO</t>
  </si>
  <si>
    <t>Zona de limitaciones naturales</t>
  </si>
  <si>
    <t>Aislamiento general</t>
  </si>
  <si>
    <t>Espacios naturales protegidos</t>
  </si>
  <si>
    <t>PUNTUACIÓN TOTAL INDICADORES NATURALES</t>
  </si>
  <si>
    <t>Puntuación población</t>
  </si>
  <si>
    <t>Puntuación Tendencia</t>
  </si>
  <si>
    <t>Puntuación Densidad</t>
  </si>
  <si>
    <t>Puntuación Población Jóven</t>
  </si>
  <si>
    <t xml:space="preserve">ENVEJECIMIENTO DE LA POBLACIÓN </t>
  </si>
  <si>
    <t>Puntuación envejecimiento</t>
  </si>
  <si>
    <t>ÍNDICE DE MASCULINIDAD</t>
  </si>
  <si>
    <t>Puntuación Masculinidad</t>
  </si>
  <si>
    <t>Puntuación Inmigración</t>
  </si>
  <si>
    <t>Puntuación Paro</t>
  </si>
  <si>
    <t>PUESTOS DE TRABAJO POR CADA 100 HABITANTES</t>
  </si>
  <si>
    <t>Puntuación Puestos de Trabajo</t>
  </si>
  <si>
    <t>AFILIACIÓN A LA SEG SOC</t>
  </si>
  <si>
    <t>Puntuación Seg. Social</t>
  </si>
  <si>
    <t>AFILIACIÓN A LA SEG SOC EN EL SECTOR AGRARIO</t>
  </si>
  <si>
    <t>Puntuación Seg. Social Agrario</t>
  </si>
  <si>
    <t>ZONA DE LIMITACIONES NATURALES</t>
  </si>
  <si>
    <t>Puntuación Zonificación</t>
  </si>
  <si>
    <t>AISLAMIENTO GENERAL</t>
  </si>
  <si>
    <t>Puntuación Aislamiento</t>
  </si>
  <si>
    <t>ESPACIOS NATURALES PROTEGIDOS</t>
  </si>
  <si>
    <t>Puntuación Espacios Protegidos</t>
  </si>
  <si>
    <t xml:space="preserve">Ablitas </t>
  </si>
  <si>
    <t>Con limitación</t>
  </si>
  <si>
    <t xml:space="preserve">Arguedas </t>
  </si>
  <si>
    <t>ordinaria</t>
  </si>
  <si>
    <t xml:space="preserve">Azagra </t>
  </si>
  <si>
    <t xml:space="preserve">Barillas </t>
  </si>
  <si>
    <t xml:space="preserve">Buñuel </t>
  </si>
  <si>
    <t xml:space="preserve">Cabanillas </t>
  </si>
  <si>
    <t xml:space="preserve">Cadreita </t>
  </si>
  <si>
    <t xml:space="preserve">Cascante </t>
  </si>
  <si>
    <t xml:space="preserve">Castejón </t>
  </si>
  <si>
    <t xml:space="preserve">Cintruénigo </t>
  </si>
  <si>
    <t xml:space="preserve">Corella </t>
  </si>
  <si>
    <t xml:space="preserve">Cortes </t>
  </si>
  <si>
    <t xml:space="preserve">Falces </t>
  </si>
  <si>
    <t xml:space="preserve">Fitero </t>
  </si>
  <si>
    <t xml:space="preserve">Fontellas </t>
  </si>
  <si>
    <t xml:space="preserve">Funes </t>
  </si>
  <si>
    <t xml:space="preserve">Fustiñana </t>
  </si>
  <si>
    <t xml:space="preserve">Marcilla </t>
  </si>
  <si>
    <t xml:space="preserve">Milagro </t>
  </si>
  <si>
    <t xml:space="preserve">Monteagudo </t>
  </si>
  <si>
    <t xml:space="preserve">Murchante </t>
  </si>
  <si>
    <t xml:space="preserve">Peralta/Azkoien </t>
  </si>
  <si>
    <t xml:space="preserve">Ribaforada </t>
  </si>
  <si>
    <t xml:space="preserve">Tudela </t>
  </si>
  <si>
    <t xml:space="preserve">Tulebras </t>
  </si>
  <si>
    <t xml:space="preserve">Valtierra </t>
  </si>
  <si>
    <t xml:space="preserve">Villafranca </t>
  </si>
  <si>
    <t>Convenio de cooperación/colaboración entre entidades públicas y/o privadas</t>
  </si>
  <si>
    <t>Público-Público</t>
  </si>
  <si>
    <t>Privado-Privado</t>
  </si>
  <si>
    <t>Público-Privada</t>
  </si>
  <si>
    <t>Tipo de colaboración</t>
  </si>
  <si>
    <t>Nº de participantes</t>
  </si>
  <si>
    <t>0 participantes</t>
  </si>
  <si>
    <t>Cooperación</t>
  </si>
  <si>
    <t>Nº de participantes en el convenio</t>
  </si>
  <si>
    <t>Potencia la participación de mujeres o de las asociaciones de mujeres</t>
  </si>
  <si>
    <t>Ayudan a eliminar estereotipos de género y/o fomentan la visibilidad de mujeres en ámbitos masculinizados</t>
  </si>
  <si>
    <t>Incorporan y apoyan el liderazgo de mujeres</t>
  </si>
  <si>
    <t>El proyecto potencia la participación de mujeres o de las asociaciones de mujeres</t>
  </si>
  <si>
    <t>El proyecto incorporan y apoyan el liderazgo de mujeres</t>
  </si>
  <si>
    <t>El proyecto ayuda a eliminar estereotipos de género y/o fomentar la visibilidad de mujeres en ámbitos masculinizados</t>
  </si>
  <si>
    <t xml:space="preserve">Resumen Puntuación Total del Proyecto </t>
  </si>
  <si>
    <t>PROYECTOS NO PRODUCTIVOS</t>
  </si>
  <si>
    <t>Porcentaje jovenes en Órganos de Gobierno</t>
  </si>
  <si>
    <t xml:space="preserve">* Compromiso con colectivo joven
</t>
  </si>
  <si>
    <t>Tiene area, concejalía o comisión de juventud</t>
  </si>
  <si>
    <t>NO compromiso coletivo joven</t>
  </si>
  <si>
    <t>NO joven</t>
  </si>
  <si>
    <t>* Porcentaje jovenes en Órganos de Gobierno que recaen en personas con 35 años o menos</t>
  </si>
  <si>
    <r>
      <t xml:space="preserve"> </t>
    </r>
    <r>
      <rPr>
        <sz val="11"/>
        <color theme="1"/>
        <rFont val="Calibri"/>
        <family val="2"/>
      </rPr>
      <t xml:space="preserve">≥ 15 % </t>
    </r>
  </si>
  <si>
    <t xml:space="preserve"> ≥ 5 % y &lt; 15 % </t>
  </si>
  <si>
    <t>Porcentaje colectivo vulnerable en Órganos de Gobierno</t>
  </si>
  <si>
    <t>Compromiso con colectivo vulnerable</t>
  </si>
  <si>
    <t>Tiene area, concejalía o comisión de servicios sociales</t>
  </si>
  <si>
    <t>Incluye en estatutos colectivos vulnerable</t>
  </si>
  <si>
    <t>Incluye en estatutos colectivo joven</t>
  </si>
  <si>
    <t>NO compromiso coletivo vulnerable</t>
  </si>
  <si>
    <t>Compromiso igualdad de género</t>
  </si>
  <si>
    <t>Porcentaje mujeres en Órganos de Gobierno</t>
  </si>
  <si>
    <t xml:space="preserve">Compromiso con igualdad de género
</t>
  </si>
  <si>
    <t>Tiene area, concejalía o comisión de igualdad</t>
  </si>
  <si>
    <t>Incluye en estatutos igualdad de género</t>
  </si>
  <si>
    <t>NO compromiso igualdad de género</t>
  </si>
  <si>
    <r>
      <t xml:space="preserve"> </t>
    </r>
    <r>
      <rPr>
        <sz val="11"/>
        <color theme="1"/>
        <rFont val="Calibri"/>
        <family val="2"/>
      </rPr>
      <t xml:space="preserve">≥ 40 % </t>
    </r>
  </si>
  <si>
    <t xml:space="preserve"> ≥ 20 % y &lt; 40 % </t>
  </si>
  <si>
    <t>NO igualdad de genero</t>
  </si>
  <si>
    <t>Creación de nuevo recurso o servicio</t>
  </si>
  <si>
    <t>Creación de nuevo recurso o servicio en el municipio</t>
  </si>
  <si>
    <t>10 puntos</t>
  </si>
  <si>
    <t>Adhesión a 2 o más asociaciones/organizaciones</t>
  </si>
  <si>
    <t>Adhesión a asociación u organización relacionada con el proyecto</t>
  </si>
  <si>
    <t>Adhesión a 1 asociación/organización</t>
  </si>
  <si>
    <r>
      <t>Forma jurídica con caracter asociativo (</t>
    </r>
    <r>
      <rPr>
        <sz val="14"/>
        <color theme="1"/>
        <rFont val="Calibri"/>
        <family val="2"/>
        <scheme val="minor"/>
      </rPr>
      <t>fundación, asociación sin ánimo de lucro, mancomunidad, consorcio y otras agrupaciones locales)</t>
    </r>
  </si>
  <si>
    <t>Puntuación máxima temática asociación 10 puntos</t>
  </si>
  <si>
    <t>C.- Empleo, emprendimiento y cooperación. Máximo 30 puntos en el grupo</t>
  </si>
  <si>
    <t>D.-Contribución del proyectoa los objetivos de la EDLP. Máximo 35 puntos en el grupo</t>
  </si>
  <si>
    <t>NO difusión</t>
  </si>
  <si>
    <t>Sólo RRSS</t>
  </si>
  <si>
    <t>Sólo medio comunicación</t>
  </si>
  <si>
    <t>Puntuación máxima temática comunicación e innovación digital 5 puntos</t>
  </si>
  <si>
    <t>Puntuación máxima criterio 7 puntos</t>
  </si>
  <si>
    <t>Puntuación máxima por temática soluciones innovadoras al cuidado del medioambiente 10 puntos</t>
  </si>
  <si>
    <t>Puntuación máxima criterio 4 puntos</t>
  </si>
  <si>
    <t>Puntuación máxima por temática mejora de la calidad de vida 10 puntos</t>
  </si>
  <si>
    <t>Puntuación máxima por temática promoción del patrimonio cultural del territorio 10 puntos</t>
  </si>
  <si>
    <t>Conservación y/o mejorar del patrimonio cultural</t>
  </si>
  <si>
    <t>Puntuación máxima temática proyectos cooperativos 10 puntos</t>
  </si>
  <si>
    <t>Indicadores</t>
  </si>
  <si>
    <t xml:space="preserve"> sociodemográficos</t>
  </si>
  <si>
    <t xml:space="preserve"> y de empleo</t>
  </si>
  <si>
    <t xml:space="preserve">Colectivos </t>
  </si>
  <si>
    <t>vulnerables</t>
  </si>
  <si>
    <t xml:space="preserve"> naturales</t>
  </si>
  <si>
    <t>Soluciones</t>
  </si>
  <si>
    <t xml:space="preserve"> innovadoras </t>
  </si>
  <si>
    <t xml:space="preserve">al cuidado del </t>
  </si>
  <si>
    <t>medioambiente</t>
  </si>
  <si>
    <t xml:space="preserve">Innovación y emprendimiento social. </t>
  </si>
  <si>
    <t xml:space="preserve">Proyectos que aporten soluciones a </t>
  </si>
  <si>
    <t xml:space="preserve">problemas sociales de forma más eficaz y </t>
  </si>
  <si>
    <t xml:space="preserve">eficiente que las alternativas actuales, y </t>
  </si>
  <si>
    <t>cuyo objetivo final no es la maximización del</t>
  </si>
  <si>
    <t xml:space="preserve"> beneficio económico, sino la creación de</t>
  </si>
  <si>
    <t xml:space="preserve"> valor para la sociedad</t>
  </si>
  <si>
    <t xml:space="preserve">Igualdad de oportunidades </t>
  </si>
  <si>
    <t>entre hombres y mujeres</t>
  </si>
  <si>
    <t xml:space="preserve">Conservación, </t>
  </si>
  <si>
    <t xml:space="preserve">mejora y divulgación </t>
  </si>
  <si>
    <t>del patrimonio cultural</t>
  </si>
  <si>
    <t xml:space="preserve">Promoción del </t>
  </si>
  <si>
    <t xml:space="preserve"> del territorio</t>
  </si>
  <si>
    <t>patrimonio cultural</t>
  </si>
  <si>
    <t>NO vulnerable</t>
  </si>
  <si>
    <t>Inversiones y/o instalaciones y uso y/o generación de energía renovable (biomasa, eólica, solar, geotérmica, o aerotermia)</t>
  </si>
  <si>
    <t>Compromiso con el colectivo joven</t>
  </si>
  <si>
    <r>
      <t xml:space="preserve">PERSONAS DE COLECTIVOS VULNERABLES 
</t>
    </r>
    <r>
      <rPr>
        <sz val="16"/>
        <color theme="1"/>
        <rFont val="Calibri"/>
        <family val="2"/>
        <scheme val="minor"/>
      </rPr>
      <t>- personas desempleadas de larga duración
- personas con discapacidad
- personas en situación o riesgo de exclusión social 
- personas perceptoras de Renta Garantizada o
   Ingreso Mínimo Vital
- personas víctimas de violencia de género</t>
    </r>
  </si>
  <si>
    <r>
      <t>Adhesión a asociación u organización relacionada con el proyecto</t>
    </r>
    <r>
      <rPr>
        <sz val="14"/>
        <color theme="1"/>
        <rFont val="Calibri"/>
        <family val="2"/>
        <scheme val="minor"/>
      </rPr>
      <t xml:space="preserve"> </t>
    </r>
  </si>
  <si>
    <t xml:space="preserve">Difusión del proyecto en medios de prensa locales y/o comarcales </t>
  </si>
  <si>
    <r>
      <t xml:space="preserve">Se considera </t>
    </r>
    <r>
      <rPr>
        <b/>
        <sz val="18"/>
        <color theme="1"/>
        <rFont val="Calibri"/>
        <family val="2"/>
        <scheme val="minor"/>
      </rPr>
      <t>innovación digital</t>
    </r>
    <r>
      <rPr>
        <sz val="18"/>
        <color theme="1"/>
        <rFont val="Calibri"/>
        <family val="2"/>
        <scheme val="minor"/>
      </rPr>
      <t xml:space="preserve"> a las soluciones implementadas mediante las acciones del proyecto que reviertan en:
- </t>
    </r>
    <r>
      <rPr>
        <u/>
        <sz val="18"/>
        <color theme="1"/>
        <rFont val="Calibri"/>
        <family val="2"/>
        <scheme val="minor"/>
      </rPr>
      <t>Innovación de procesos</t>
    </r>
    <r>
      <rPr>
        <sz val="18"/>
        <color theme="1"/>
        <rFont val="Calibri"/>
        <family val="2"/>
        <scheme val="minor"/>
      </rPr>
      <t xml:space="preserve"> (introducción de un método de producción o de distribución nuevo o significativamente mejorado. Incluye mejoras significativas en técnicas, equipo o software). 
- </t>
    </r>
    <r>
      <rPr>
        <u/>
        <sz val="18"/>
        <color theme="1"/>
        <rFont val="Calibri"/>
        <family val="2"/>
        <scheme val="minor"/>
      </rPr>
      <t>Innovación de productos o servicios</t>
    </r>
    <r>
      <rPr>
        <sz val="18"/>
        <color theme="1"/>
        <rFont val="Calibri"/>
        <family val="2"/>
        <scheme val="minor"/>
      </rPr>
      <t xml:space="preserve"> (introducción de un bien o servicio nuevo o significativamente mejorado en sus características o en sus usos posibles. Incluye mejoras significativas en las especificaciones técnicas, los componentes o materiales, el software incorporado, la ergonomía u otras características funcionales. Las innovaciones en servicios pueden incluir mejoras significativas en las operaciones de suministro, la adición de nuevas funciones o características a servicios existentes o la introducción de servicios completamente nuevos).</t>
    </r>
  </si>
  <si>
    <r>
      <rPr>
        <b/>
        <sz val="18"/>
        <color theme="1"/>
        <rFont val="Calibri"/>
        <family val="2"/>
        <scheme val="minor"/>
      </rPr>
      <t>Transformación digital</t>
    </r>
    <r>
      <rPr>
        <sz val="18"/>
        <color theme="1"/>
        <rFont val="Calibri"/>
        <family val="2"/>
        <scheme val="minor"/>
      </rPr>
      <t>, que podrá consistir en la integración y aplicación de las nuevas tecnologías en las entidades para optimizar procedimientos, mejorar el desempeño de sus funciones, mejorar la calidad del servicio al cliente, reducir costes o mejorar su competitividad mediante: big data, inteligencia artificial, nuevas tecnologías computacionales, software avanzado...</t>
    </r>
  </si>
  <si>
    <t>inversiones y/o soluciones innovadoras que repercutan directamente en uso eficiente de recursos (aguas, suelo y aire)</t>
  </si>
  <si>
    <t>inversiones y/o soluciones innovadoras que repercutan directamente en conservación de la naturaleza</t>
  </si>
  <si>
    <t>inversiones y/o soluciones innovadoras que repercutan directamente en empleo de subproductos</t>
  </si>
  <si>
    <t>inversiones y/o soluciones innovadoras que repercutan directamente en educación ambiental</t>
  </si>
  <si>
    <t>San Adrián</t>
  </si>
  <si>
    <t>Si el objetivo fundamental del proyecto es promover un estilo de vida saludable relacionado con una alimentación saludable</t>
  </si>
  <si>
    <t>Si el objetivo fundamental del proyecto es promover un estilo de vida saludable relacionado con la actividad física</t>
  </si>
  <si>
    <t xml:space="preserve">Si el objetivo fundamental del proyecto es promover un estilo de vida saludable relacionado con el bienestar emocional </t>
  </si>
  <si>
    <t>Si el objetivo fundamental del proyecto es promover un estilo de vida saludable relacionado con la prevención</t>
  </si>
  <si>
    <t>En ____________ a ____ de _____________________________ de 2024</t>
  </si>
  <si>
    <t xml:space="preserve">INSTRUCCIONES: </t>
  </si>
  <si>
    <t>Título del proyecto:</t>
  </si>
  <si>
    <t>Promotor:</t>
  </si>
  <si>
    <t>Completar únicamente las celdas amarillas . Cada criterio dispone de un desplegable para seleccionar la puntuación que se solicita.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</si>
</sst>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rgb="FF000080"/>
      <name val="Arial"/>
      <family val="2"/>
    </font>
    <font>
      <b/>
      <i/>
      <sz val="18"/>
      <color rgb="FF00008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8"/>
      <color rgb="FF000080"/>
      <name val="Arial"/>
      <family val="2"/>
    </font>
    <font>
      <sz val="18"/>
      <color theme="1"/>
      <name val="Agency FB"/>
      <family val="2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000080"/>
      <name val="Arial"/>
      <family val="2"/>
    </font>
    <font>
      <sz val="11"/>
      <color theme="1"/>
      <name val="Calibri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2"/>
      <color rgb="FF000080"/>
      <name val="Arial"/>
      <family val="2"/>
    </font>
    <font>
      <b/>
      <sz val="1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63"/>
      <name val="Arial"/>
      <family val="2"/>
    </font>
    <font>
      <b/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u/>
      <sz val="18"/>
      <color theme="1"/>
      <name val="Calibri"/>
      <family val="2"/>
      <scheme val="minor"/>
    </font>
    <font>
      <b/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0">
    <xf numFmtId="0" fontId="0" fillId="0" borderId="0" xfId="0"/>
    <xf numFmtId="0" fontId="5" fillId="2" borderId="14" xfId="0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textRotation="90"/>
    </xf>
    <xf numFmtId="0" fontId="0" fillId="0" borderId="14" xfId="0" applyBorder="1"/>
    <xf numFmtId="0" fontId="0" fillId="0" borderId="39" xfId="0" applyBorder="1"/>
    <xf numFmtId="0" fontId="0" fillId="0" borderId="14" xfId="0" applyBorder="1" applyAlignment="1">
      <alignment horizontal="left" vertical="center"/>
    </xf>
    <xf numFmtId="0" fontId="5" fillId="2" borderId="41" xfId="0" applyFont="1" applyFill="1" applyBorder="1" applyAlignment="1" applyProtection="1">
      <alignment vertical="center" wrapText="1"/>
      <protection locked="0"/>
    </xf>
    <xf numFmtId="0" fontId="0" fillId="0" borderId="36" xfId="0" applyBorder="1" applyAlignment="1">
      <alignment horizontal="left" vertical="center"/>
    </xf>
    <xf numFmtId="0" fontId="0" fillId="0" borderId="37" xfId="0" applyBorder="1"/>
    <xf numFmtId="0" fontId="0" fillId="0" borderId="27" xfId="0" applyBorder="1"/>
    <xf numFmtId="0" fontId="0" fillId="0" borderId="15" xfId="0" applyBorder="1" applyAlignment="1">
      <alignment horizontal="left" vertical="center"/>
    </xf>
    <xf numFmtId="0" fontId="0" fillId="0" borderId="56" xfId="0" applyBorder="1"/>
    <xf numFmtId="0" fontId="0" fillId="0" borderId="0" xfId="0" applyAlignment="1">
      <alignment vertical="center" wrapText="1"/>
    </xf>
    <xf numFmtId="0" fontId="3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0" fontId="3" fillId="0" borderId="57" xfId="0" applyFont="1" applyBorder="1"/>
    <xf numFmtId="0" fontId="3" fillId="0" borderId="58" xfId="0" applyFont="1" applyBorder="1"/>
    <xf numFmtId="0" fontId="3" fillId="0" borderId="64" xfId="0" applyFont="1" applyBorder="1"/>
    <xf numFmtId="0" fontId="0" fillId="0" borderId="36" xfId="0" applyBorder="1"/>
    <xf numFmtId="0" fontId="0" fillId="0" borderId="47" xfId="0" applyBorder="1"/>
    <xf numFmtId="0" fontId="0" fillId="0" borderId="15" xfId="0" applyBorder="1"/>
    <xf numFmtId="0" fontId="5" fillId="2" borderId="8" xfId="0" applyFont="1" applyFill="1" applyBorder="1" applyAlignment="1" applyProtection="1">
      <alignment vertical="center" wrapText="1"/>
      <protection locked="0"/>
    </xf>
    <xf numFmtId="2" fontId="3" fillId="0" borderId="0" xfId="0" applyNumberFormat="1" applyFont="1"/>
    <xf numFmtId="2" fontId="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textRotation="90" wrapText="1"/>
    </xf>
    <xf numFmtId="2" fontId="0" fillId="0" borderId="0" xfId="1" applyNumberFormat="1" applyFont="1" applyFill="1" applyBorder="1" applyAlignment="1">
      <alignment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2" fontId="0" fillId="0" borderId="0" xfId="1" applyNumberFormat="1" applyFont="1" applyFill="1" applyBorder="1"/>
    <xf numFmtId="2" fontId="3" fillId="0" borderId="0" xfId="1" applyNumberFormat="1" applyFont="1" applyFill="1" applyBorder="1" applyAlignment="1">
      <alignment horizontal="center"/>
    </xf>
    <xf numFmtId="2" fontId="0" fillId="0" borderId="0" xfId="0" applyNumberFormat="1"/>
    <xf numFmtId="0" fontId="25" fillId="0" borderId="0" xfId="0" applyFont="1"/>
    <xf numFmtId="0" fontId="0" fillId="0" borderId="41" xfId="0" applyBorder="1" applyAlignment="1">
      <alignment horizontal="left" vertical="center"/>
    </xf>
    <xf numFmtId="0" fontId="0" fillId="0" borderId="51" xfId="0" applyBorder="1"/>
    <xf numFmtId="1" fontId="14" fillId="0" borderId="40" xfId="0" applyNumberFormat="1" applyFont="1" applyBorder="1" applyAlignment="1">
      <alignment vertical="center"/>
    </xf>
    <xf numFmtId="3" fontId="34" fillId="0" borderId="11" xfId="0" applyNumberFormat="1" applyFont="1" applyBorder="1" applyAlignment="1">
      <alignment vertical="center"/>
    </xf>
    <xf numFmtId="2" fontId="14" fillId="0" borderId="0" xfId="0" applyNumberFormat="1" applyFont="1"/>
    <xf numFmtId="2" fontId="14" fillId="2" borderId="0" xfId="0" applyNumberFormat="1" applyFont="1" applyFill="1"/>
    <xf numFmtId="3" fontId="34" fillId="2" borderId="11" xfId="0" applyNumberFormat="1" applyFont="1" applyFill="1" applyBorder="1" applyAlignment="1">
      <alignment vertical="center"/>
    </xf>
    <xf numFmtId="2" fontId="0" fillId="0" borderId="0" xfId="1" applyNumberFormat="1" applyFont="1" applyBorder="1"/>
    <xf numFmtId="2" fontId="23" fillId="0" borderId="0" xfId="1" applyNumberFormat="1" applyFont="1" applyFill="1" applyBorder="1" applyAlignment="1">
      <alignment horizontal="center" vertical="center" textRotation="90" wrapText="1"/>
    </xf>
    <xf numFmtId="2" fontId="0" fillId="4" borderId="46" xfId="0" applyNumberFormat="1" applyFill="1" applyBorder="1" applyAlignment="1">
      <alignment horizontal="center"/>
    </xf>
    <xf numFmtId="2" fontId="0" fillId="4" borderId="23" xfId="0" applyNumberFormat="1" applyFill="1" applyBorder="1" applyAlignment="1">
      <alignment horizontal="center"/>
    </xf>
    <xf numFmtId="0" fontId="23" fillId="4" borderId="59" xfId="0" applyFont="1" applyFill="1" applyBorder="1" applyAlignment="1">
      <alignment horizontal="center" vertical="center" textRotation="90" wrapText="1"/>
    </xf>
    <xf numFmtId="2" fontId="23" fillId="4" borderId="59" xfId="0" applyNumberFormat="1" applyFont="1" applyFill="1" applyBorder="1" applyAlignment="1">
      <alignment horizontal="center" vertical="center" textRotation="90" wrapText="1"/>
    </xf>
    <xf numFmtId="164" fontId="23" fillId="4" borderId="68" xfId="0" applyNumberFormat="1" applyFont="1" applyFill="1" applyBorder="1" applyAlignment="1">
      <alignment horizontal="center" vertical="center" textRotation="90" wrapText="1"/>
    </xf>
    <xf numFmtId="2" fontId="23" fillId="4" borderId="60" xfId="0" applyNumberFormat="1" applyFont="1" applyFill="1" applyBorder="1" applyAlignment="1">
      <alignment horizontal="center" vertical="center" textRotation="90" wrapText="1"/>
    </xf>
    <xf numFmtId="2" fontId="23" fillId="4" borderId="61" xfId="0" applyNumberFormat="1" applyFont="1" applyFill="1" applyBorder="1" applyAlignment="1">
      <alignment horizontal="center" vertical="center" textRotation="90" wrapText="1"/>
    </xf>
    <xf numFmtId="2" fontId="23" fillId="4" borderId="62" xfId="0" applyNumberFormat="1" applyFont="1" applyFill="1" applyBorder="1" applyAlignment="1">
      <alignment horizontal="center" vertical="center" textRotation="90" wrapText="1"/>
    </xf>
    <xf numFmtId="10" fontId="23" fillId="4" borderId="59" xfId="1" applyNumberFormat="1" applyFont="1" applyFill="1" applyBorder="1" applyAlignment="1">
      <alignment horizontal="center" vertical="center" textRotation="90" wrapText="1"/>
    </xf>
    <xf numFmtId="10" fontId="23" fillId="4" borderId="68" xfId="1" applyNumberFormat="1" applyFont="1" applyFill="1" applyBorder="1" applyAlignment="1">
      <alignment horizontal="center" vertical="center" textRotation="90" wrapText="1"/>
    </xf>
    <xf numFmtId="10" fontId="23" fillId="4" borderId="61" xfId="1" applyNumberFormat="1" applyFont="1" applyFill="1" applyBorder="1" applyAlignment="1">
      <alignment horizontal="center" vertical="center" textRotation="90" wrapText="1"/>
    </xf>
    <xf numFmtId="2" fontId="23" fillId="4" borderId="63" xfId="0" applyNumberFormat="1" applyFont="1" applyFill="1" applyBorder="1" applyAlignment="1">
      <alignment horizontal="center" vertical="center" textRotation="90" wrapText="1"/>
    </xf>
    <xf numFmtId="0" fontId="0" fillId="0" borderId="30" xfId="0" applyBorder="1"/>
    <xf numFmtId="0" fontId="0" fillId="0" borderId="41" xfId="0" applyBorder="1"/>
    <xf numFmtId="2" fontId="0" fillId="0" borderId="41" xfId="0" applyNumberFormat="1" applyBorder="1"/>
    <xf numFmtId="164" fontId="0" fillId="0" borderId="41" xfId="0" applyNumberFormat="1" applyBorder="1"/>
    <xf numFmtId="10" fontId="0" fillId="0" borderId="41" xfId="1" applyNumberFormat="1" applyFont="1" applyBorder="1"/>
    <xf numFmtId="2" fontId="3" fillId="0" borderId="51" xfId="0" applyNumberFormat="1" applyFont="1" applyBorder="1" applyAlignment="1">
      <alignment horizontal="center" vertical="center"/>
    </xf>
    <xf numFmtId="0" fontId="0" fillId="0" borderId="49" xfId="0" applyBorder="1"/>
    <xf numFmtId="2" fontId="0" fillId="0" borderId="14" xfId="0" applyNumberFormat="1" applyBorder="1"/>
    <xf numFmtId="164" fontId="0" fillId="0" borderId="14" xfId="0" applyNumberFormat="1" applyBorder="1"/>
    <xf numFmtId="10" fontId="0" fillId="0" borderId="14" xfId="1" applyNumberFormat="1" applyFont="1" applyBorder="1"/>
    <xf numFmtId="2" fontId="3" fillId="0" borderId="27" xfId="0" applyNumberFormat="1" applyFont="1" applyBorder="1" applyAlignment="1">
      <alignment horizontal="center" vertical="center"/>
    </xf>
    <xf numFmtId="0" fontId="0" fillId="0" borderId="55" xfId="0" applyBorder="1"/>
    <xf numFmtId="2" fontId="0" fillId="0" borderId="15" xfId="0" applyNumberFormat="1" applyBorder="1"/>
    <xf numFmtId="164" fontId="0" fillId="0" borderId="15" xfId="0" applyNumberFormat="1" applyBorder="1"/>
    <xf numFmtId="10" fontId="0" fillId="0" borderId="15" xfId="1" applyNumberFormat="1" applyFont="1" applyBorder="1"/>
    <xf numFmtId="2" fontId="3" fillId="0" borderId="56" xfId="0" applyNumberFormat="1" applyFont="1" applyBorder="1" applyAlignment="1">
      <alignment horizontal="center" vertical="center"/>
    </xf>
    <xf numFmtId="0" fontId="5" fillId="2" borderId="0" xfId="0" applyFont="1" applyFill="1" applyAlignment="1" applyProtection="1">
      <alignment vertical="center" wrapText="1"/>
      <protection locked="0"/>
    </xf>
    <xf numFmtId="0" fontId="5" fillId="2" borderId="13" xfId="0" applyFont="1" applyFill="1" applyBorder="1" applyAlignment="1" applyProtection="1">
      <alignment vertical="center" wrapText="1"/>
      <protection locked="0"/>
    </xf>
    <xf numFmtId="0" fontId="36" fillId="2" borderId="0" xfId="0" applyFont="1" applyFill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12" fillId="0" borderId="21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15" fillId="6" borderId="21" xfId="0" applyFont="1" applyFill="1" applyBorder="1" applyAlignment="1">
      <alignment horizontal="left" vertical="center"/>
    </xf>
    <xf numFmtId="0" fontId="15" fillId="6" borderId="22" xfId="0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right" vertical="center" wrapText="1"/>
    </xf>
    <xf numFmtId="2" fontId="12" fillId="3" borderId="1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12" fillId="3" borderId="27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2" fontId="5" fillId="4" borderId="41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center" wrapText="1"/>
    </xf>
    <xf numFmtId="2" fontId="5" fillId="4" borderId="14" xfId="0" applyNumberFormat="1" applyFont="1" applyFill="1" applyBorder="1" applyAlignment="1">
      <alignment horizontal="center" vertical="center" wrapText="1"/>
    </xf>
    <xf numFmtId="2" fontId="12" fillId="3" borderId="14" xfId="0" applyNumberFormat="1" applyFont="1" applyFill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12" fillId="3" borderId="14" xfId="0" applyFont="1" applyFill="1" applyBorder="1" applyAlignment="1">
      <alignment horizontal="right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5" fillId="0" borderId="35" xfId="0" applyFont="1" applyBorder="1" applyAlignment="1">
      <alignment vertical="center" wrapText="1"/>
    </xf>
    <xf numFmtId="0" fontId="27" fillId="6" borderId="21" xfId="0" applyFont="1" applyFill="1" applyBorder="1" applyAlignment="1">
      <alignment horizontal="left" vertical="center"/>
    </xf>
    <xf numFmtId="0" fontId="27" fillId="6" borderId="22" xfId="0" applyFont="1" applyFill="1" applyBorder="1" applyAlignment="1">
      <alignment horizontal="center" vertical="center" wrapText="1"/>
    </xf>
    <xf numFmtId="0" fontId="27" fillId="6" borderId="23" xfId="0" applyFont="1" applyFill="1" applyBorder="1" applyAlignment="1">
      <alignment horizontal="center" vertical="center" wrapText="1"/>
    </xf>
    <xf numFmtId="2" fontId="27" fillId="6" borderId="24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15" fillId="5" borderId="21" xfId="0" applyFont="1" applyFill="1" applyBorder="1" applyAlignment="1">
      <alignment horizontal="left" vertical="center"/>
    </xf>
    <xf numFmtId="0" fontId="15" fillId="5" borderId="22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2" fontId="5" fillId="0" borderId="14" xfId="0" applyNumberFormat="1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2" fontId="12" fillId="0" borderId="0" xfId="0" applyNumberFormat="1" applyFont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2" fontId="5" fillId="0" borderId="32" xfId="0" applyNumberFormat="1" applyFont="1" applyBorder="1" applyAlignment="1">
      <alignment vertical="center" wrapText="1"/>
    </xf>
    <xf numFmtId="2" fontId="5" fillId="0" borderId="13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2" fontId="12" fillId="4" borderId="27" xfId="0" applyNumberFormat="1" applyFont="1" applyFill="1" applyBorder="1" applyAlignment="1">
      <alignment horizontal="center" vertical="center" wrapText="1"/>
    </xf>
    <xf numFmtId="0" fontId="5" fillId="0" borderId="42" xfId="0" applyFont="1" applyBorder="1" applyAlignment="1">
      <alignment vertical="center" wrapText="1"/>
    </xf>
    <xf numFmtId="0" fontId="5" fillId="0" borderId="39" xfId="0" applyFont="1" applyBorder="1" applyAlignment="1">
      <alignment horizontal="center" wrapText="1"/>
    </xf>
    <xf numFmtId="0" fontId="5" fillId="0" borderId="41" xfId="0" applyFont="1" applyBorder="1" applyAlignment="1">
      <alignment horizontal="center" vertical="top" wrapText="1"/>
    </xf>
    <xf numFmtId="0" fontId="5" fillId="0" borderId="34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27" fillId="5" borderId="21" xfId="0" applyFont="1" applyFill="1" applyBorder="1" applyAlignment="1">
      <alignment horizontal="left" vertical="center"/>
    </xf>
    <xf numFmtId="0" fontId="27" fillId="5" borderId="22" xfId="0" applyFont="1" applyFill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center" vertical="center" wrapText="1"/>
    </xf>
    <xf numFmtId="2" fontId="27" fillId="5" borderId="24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15" fillId="7" borderId="21" xfId="0" applyFont="1" applyFill="1" applyBorder="1" applyAlignment="1">
      <alignment horizontal="left" vertical="center"/>
    </xf>
    <xf numFmtId="0" fontId="15" fillId="7" borderId="22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2" fontId="5" fillId="4" borderId="8" xfId="0" applyNumberFormat="1" applyFont="1" applyFill="1" applyBorder="1" applyAlignment="1">
      <alignment horizontal="center" vertical="center" wrapText="1"/>
    </xf>
    <xf numFmtId="2" fontId="5" fillId="4" borderId="27" xfId="0" applyNumberFormat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right" vertical="center" wrapText="1"/>
    </xf>
    <xf numFmtId="2" fontId="12" fillId="4" borderId="14" xfId="0" applyNumberFormat="1" applyFont="1" applyFill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2" fontId="12" fillId="0" borderId="9" xfId="0" applyNumberFormat="1" applyFont="1" applyBorder="1" applyAlignment="1">
      <alignment vertical="center" wrapText="1"/>
    </xf>
    <xf numFmtId="2" fontId="12" fillId="0" borderId="1" xfId="0" applyNumberFormat="1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2" fontId="12" fillId="0" borderId="0" xfId="0" applyNumberFormat="1" applyFont="1" applyAlignment="1">
      <alignment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right" vertical="center" wrapText="1"/>
    </xf>
    <xf numFmtId="2" fontId="12" fillId="4" borderId="15" xfId="0" applyNumberFormat="1" applyFont="1" applyFill="1" applyBorder="1" applyAlignment="1">
      <alignment vertical="center" wrapText="1"/>
    </xf>
    <xf numFmtId="0" fontId="12" fillId="0" borderId="60" xfId="0" applyFont="1" applyBorder="1" applyAlignment="1">
      <alignment horizontal="center" vertical="center" wrapText="1"/>
    </xf>
    <xf numFmtId="2" fontId="12" fillId="4" borderId="56" xfId="0" applyNumberFormat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2" fillId="0" borderId="35" xfId="0" applyFont="1" applyBorder="1" applyAlignment="1">
      <alignment vertical="center" wrapText="1"/>
    </xf>
    <xf numFmtId="2" fontId="12" fillId="0" borderId="43" xfId="0" applyNumberFormat="1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27" fillId="7" borderId="21" xfId="0" applyFont="1" applyFill="1" applyBorder="1" applyAlignment="1">
      <alignment horizontal="left" vertical="center"/>
    </xf>
    <xf numFmtId="0" fontId="27" fillId="7" borderId="22" xfId="0" applyFont="1" applyFill="1" applyBorder="1" applyAlignment="1">
      <alignment horizontal="center" vertical="center" wrapText="1"/>
    </xf>
    <xf numFmtId="0" fontId="27" fillId="7" borderId="23" xfId="0" applyFont="1" applyFill="1" applyBorder="1" applyAlignment="1">
      <alignment horizontal="center" vertical="center" wrapText="1"/>
    </xf>
    <xf numFmtId="2" fontId="27" fillId="7" borderId="24" xfId="0" applyNumberFormat="1" applyFont="1" applyFill="1" applyBorder="1" applyAlignment="1">
      <alignment horizontal="center" vertical="center" wrapText="1"/>
    </xf>
    <xf numFmtId="0" fontId="15" fillId="8" borderId="21" xfId="0" applyFont="1" applyFill="1" applyBorder="1" applyAlignment="1">
      <alignment horizontal="left" vertical="center"/>
    </xf>
    <xf numFmtId="0" fontId="15" fillId="8" borderId="22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11" borderId="39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center"/>
    </xf>
    <xf numFmtId="1" fontId="12" fillId="4" borderId="14" xfId="0" applyNumberFormat="1" applyFont="1" applyFill="1" applyBorder="1" applyAlignment="1">
      <alignment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5" fillId="11" borderId="13" xfId="0" applyFont="1" applyFill="1" applyBorder="1" applyAlignment="1">
      <alignment vertical="center" wrapText="1"/>
    </xf>
    <xf numFmtId="0" fontId="5" fillId="0" borderId="0" xfId="0" applyFont="1"/>
    <xf numFmtId="0" fontId="5" fillId="0" borderId="40" xfId="0" applyFont="1" applyBorder="1" applyAlignment="1">
      <alignment horizontal="center" vertical="top" wrapText="1"/>
    </xf>
    <xf numFmtId="0" fontId="12" fillId="3" borderId="13" xfId="0" applyFont="1" applyFill="1" applyBorder="1" applyAlignment="1">
      <alignment horizontal="right" vertical="center" wrapText="1"/>
    </xf>
    <xf numFmtId="0" fontId="12" fillId="3" borderId="13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5" fillId="11" borderId="14" xfId="0" applyFont="1" applyFill="1" applyBorder="1" applyAlignment="1">
      <alignment horizontal="left" vertical="center" wrapText="1"/>
    </xf>
    <xf numFmtId="0" fontId="12" fillId="0" borderId="4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5" fillId="0" borderId="50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wrapText="1"/>
    </xf>
    <xf numFmtId="0" fontId="5" fillId="0" borderId="20" xfId="0" applyFont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0" borderId="52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27" fillId="8" borderId="21" xfId="0" applyFont="1" applyFill="1" applyBorder="1" applyAlignment="1">
      <alignment horizontal="left" vertical="center"/>
    </xf>
    <xf numFmtId="0" fontId="27" fillId="8" borderId="22" xfId="0" applyFont="1" applyFill="1" applyBorder="1" applyAlignment="1">
      <alignment horizontal="left" vertical="center"/>
    </xf>
    <xf numFmtId="0" fontId="27" fillId="8" borderId="22" xfId="0" applyFont="1" applyFill="1" applyBorder="1" applyAlignment="1">
      <alignment horizontal="center" vertical="center" wrapText="1"/>
    </xf>
    <xf numFmtId="0" fontId="27" fillId="8" borderId="23" xfId="0" applyFont="1" applyFill="1" applyBorder="1" applyAlignment="1">
      <alignment horizontal="center" vertical="center" wrapText="1"/>
    </xf>
    <xf numFmtId="2" fontId="27" fillId="8" borderId="24" xfId="0" applyNumberFormat="1" applyFont="1" applyFill="1" applyBorder="1" applyAlignment="1">
      <alignment horizontal="center" vertical="center" wrapText="1"/>
    </xf>
    <xf numFmtId="0" fontId="30" fillId="10" borderId="21" xfId="0" applyFont="1" applyFill="1" applyBorder="1" applyAlignment="1">
      <alignment horizontal="left" vertical="center"/>
    </xf>
    <xf numFmtId="0" fontId="30" fillId="10" borderId="22" xfId="0" applyFont="1" applyFill="1" applyBorder="1" applyAlignment="1">
      <alignment horizontal="center" vertical="center" wrapText="1"/>
    </xf>
    <xf numFmtId="0" fontId="30" fillId="10" borderId="22" xfId="0" applyFont="1" applyFill="1" applyBorder="1" applyAlignment="1">
      <alignment horizontal="center" vertical="center"/>
    </xf>
    <xf numFmtId="0" fontId="30" fillId="10" borderId="23" xfId="0" applyFont="1" applyFill="1" applyBorder="1" applyAlignment="1">
      <alignment horizontal="center" vertical="center" wrapText="1"/>
    </xf>
    <xf numFmtId="0" fontId="30" fillId="9" borderId="21" xfId="0" applyFont="1" applyFill="1" applyBorder="1" applyAlignment="1">
      <alignment horizontal="left" vertical="center"/>
    </xf>
    <xf numFmtId="0" fontId="30" fillId="9" borderId="22" xfId="0" applyFont="1" applyFill="1" applyBorder="1" applyAlignment="1">
      <alignment horizontal="center" vertical="center" wrapText="1"/>
    </xf>
    <xf numFmtId="0" fontId="30" fillId="9" borderId="23" xfId="0" applyFont="1" applyFill="1" applyBorder="1" applyAlignment="1">
      <alignment horizontal="center" vertical="center" wrapText="1"/>
    </xf>
    <xf numFmtId="2" fontId="18" fillId="9" borderId="24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 wrapText="1"/>
    </xf>
    <xf numFmtId="0" fontId="19" fillId="0" borderId="14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1" fillId="0" borderId="0" xfId="0" applyFont="1" applyAlignment="1">
      <alignment vertical="center" textRotation="90" wrapText="1"/>
    </xf>
    <xf numFmtId="0" fontId="31" fillId="0" borderId="0" xfId="0" applyFont="1"/>
    <xf numFmtId="0" fontId="31" fillId="0" borderId="0" xfId="0" applyFont="1" applyAlignment="1">
      <alignment horizontal="right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18" fillId="0" borderId="0" xfId="0" applyFont="1" applyAlignment="1">
      <alignment horizontal="center" vertical="center" wrapText="1"/>
    </xf>
    <xf numFmtId="0" fontId="40" fillId="2" borderId="0" xfId="0" applyFont="1" applyFill="1" applyAlignment="1">
      <alignment vertical="center"/>
    </xf>
    <xf numFmtId="0" fontId="37" fillId="0" borderId="0" xfId="0" applyFont="1"/>
    <xf numFmtId="0" fontId="10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38" fillId="2" borderId="69" xfId="0" applyFont="1" applyFill="1" applyBorder="1" applyAlignment="1" applyProtection="1">
      <alignment horizontal="center"/>
      <protection locked="0"/>
    </xf>
    <xf numFmtId="0" fontId="38" fillId="2" borderId="4" xfId="0" applyFont="1" applyFill="1" applyBorder="1" applyAlignment="1" applyProtection="1">
      <alignment horizontal="center"/>
      <protection locked="0"/>
    </xf>
    <xf numFmtId="0" fontId="38" fillId="2" borderId="5" xfId="0" applyFont="1" applyFill="1" applyBorder="1" applyAlignment="1" applyProtection="1">
      <alignment horizontal="center"/>
      <protection locked="0"/>
    </xf>
    <xf numFmtId="0" fontId="38" fillId="2" borderId="8" xfId="0" applyFont="1" applyFill="1" applyBorder="1" applyAlignment="1" applyProtection="1">
      <alignment horizontal="center"/>
      <protection locked="0"/>
    </xf>
    <xf numFmtId="0" fontId="38" fillId="2" borderId="9" xfId="0" applyFont="1" applyFill="1" applyBorder="1" applyAlignment="1" applyProtection="1">
      <alignment horizontal="center"/>
      <protection locked="0"/>
    </xf>
    <xf numFmtId="0" fontId="38" fillId="2" borderId="13" xfId="0" applyFont="1" applyFill="1" applyBorder="1" applyAlignment="1" applyProtection="1">
      <alignment horizontal="center"/>
      <protection locked="0"/>
    </xf>
    <xf numFmtId="0" fontId="38" fillId="2" borderId="16" xfId="0" applyFont="1" applyFill="1" applyBorder="1" applyAlignment="1" applyProtection="1">
      <alignment horizontal="center"/>
      <protection locked="0"/>
    </xf>
    <xf numFmtId="0" fontId="38" fillId="2" borderId="53" xfId="0" applyFont="1" applyFill="1" applyBorder="1" applyAlignment="1" applyProtection="1">
      <alignment horizontal="center"/>
      <protection locked="0"/>
    </xf>
    <xf numFmtId="0" fontId="38" fillId="0" borderId="2" xfId="0" applyFont="1" applyBorder="1" applyAlignment="1">
      <alignment horizontal="left"/>
    </xf>
    <xf numFmtId="0" fontId="38" fillId="0" borderId="3" xfId="0" applyFont="1" applyBorder="1" applyAlignment="1">
      <alignment horizontal="left"/>
    </xf>
    <xf numFmtId="0" fontId="38" fillId="0" borderId="48" xfId="0" applyFont="1" applyBorder="1" applyAlignment="1">
      <alignment horizontal="left"/>
    </xf>
    <xf numFmtId="0" fontId="38" fillId="0" borderId="13" xfId="0" applyFont="1" applyBorder="1" applyAlignment="1">
      <alignment horizontal="left"/>
    </xf>
    <xf numFmtId="0" fontId="38" fillId="0" borderId="52" xfId="0" applyFont="1" applyBorder="1" applyAlignment="1">
      <alignment horizontal="left"/>
    </xf>
    <xf numFmtId="0" fontId="38" fillId="0" borderId="53" xfId="0" applyFont="1" applyBorder="1" applyAlignment="1">
      <alignment horizontal="left"/>
    </xf>
    <xf numFmtId="0" fontId="5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64" fontId="0" fillId="4" borderId="21" xfId="0" applyNumberFormat="1" applyFill="1" applyBorder="1" applyAlignment="1">
      <alignment horizontal="center" vertical="center" wrapText="1"/>
    </xf>
    <xf numFmtId="164" fontId="0" fillId="4" borderId="23" xfId="0" applyNumberForma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2" fillId="6" borderId="42" xfId="0" applyFont="1" applyFill="1" applyBorder="1" applyAlignment="1">
      <alignment horizontal="left" vertical="center" wrapText="1"/>
    </xf>
    <xf numFmtId="0" fontId="12" fillId="6" borderId="0" xfId="0" applyFont="1" applyFill="1" applyAlignment="1">
      <alignment horizontal="left" vertical="center" wrapText="1"/>
    </xf>
    <xf numFmtId="0" fontId="35" fillId="4" borderId="65" xfId="0" applyFont="1" applyFill="1" applyBorder="1" applyAlignment="1">
      <alignment horizontal="center" vertical="center" textRotation="90" wrapText="1"/>
    </xf>
    <xf numFmtId="0" fontId="35" fillId="4" borderId="66" xfId="0" applyFont="1" applyFill="1" applyBorder="1" applyAlignment="1">
      <alignment horizontal="center" vertical="center" textRotation="90" wrapText="1"/>
    </xf>
    <xf numFmtId="0" fontId="35" fillId="4" borderId="67" xfId="0" applyFont="1" applyFill="1" applyBorder="1" applyAlignment="1">
      <alignment horizontal="center" vertical="center" textRotation="90" wrapText="1"/>
    </xf>
    <xf numFmtId="0" fontId="0" fillId="0" borderId="40" xfId="0" applyBorder="1" applyAlignment="1">
      <alignment horizontal="left" vertical="center" wrapText="1"/>
    </xf>
    <xf numFmtId="0" fontId="0" fillId="0" borderId="5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59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4" borderId="44" xfId="0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 wrapText="1"/>
    </xf>
    <xf numFmtId="2" fontId="35" fillId="4" borderId="46" xfId="0" applyNumberFormat="1" applyFont="1" applyFill="1" applyBorder="1" applyAlignment="1">
      <alignment horizontal="center" vertical="center" textRotation="90" wrapText="1"/>
    </xf>
    <xf numFmtId="2" fontId="35" fillId="4" borderId="1" xfId="0" applyNumberFormat="1" applyFont="1" applyFill="1" applyBorder="1" applyAlignment="1">
      <alignment horizontal="center" vertical="center" textRotation="90" wrapText="1"/>
    </xf>
    <xf numFmtId="2" fontId="35" fillId="4" borderId="43" xfId="0" applyNumberFormat="1" applyFont="1" applyFill="1" applyBorder="1" applyAlignment="1">
      <alignment horizontal="center" vertical="center" textRotation="90" wrapText="1"/>
    </xf>
    <xf numFmtId="2" fontId="23" fillId="4" borderId="65" xfId="0" applyNumberFormat="1" applyFont="1" applyFill="1" applyBorder="1" applyAlignment="1">
      <alignment horizontal="center" vertical="center" textRotation="90" wrapText="1"/>
    </xf>
    <xf numFmtId="2" fontId="23" fillId="4" borderId="67" xfId="0" applyNumberFormat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Porcentaje" xfId="1" builtinId="5"/>
  </cellStyles>
  <dxfs count="168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0D685-D6AC-48EA-BC97-02B73D31AFA3}">
  <dimension ref="A1:R204"/>
  <sheetViews>
    <sheetView tabSelected="1" zoomScale="50" zoomScaleNormal="50" zoomScalePageLayoutView="55" workbookViewId="0">
      <pane xSplit="1" ySplit="10" topLeftCell="B20" activePane="bottomRight" state="frozen"/>
      <selection pane="topRight" activeCell="B1" sqref="B1"/>
      <selection pane="bottomLeft" activeCell="A11" sqref="A11"/>
      <selection pane="bottomRight" activeCell="E89" sqref="E89"/>
    </sheetView>
  </sheetViews>
  <sheetFormatPr baseColWidth="10" defaultColWidth="11.44140625" defaultRowHeight="23.4" x14ac:dyDescent="0.3"/>
  <cols>
    <col min="1" max="1" width="6" style="79" customWidth="1"/>
    <col min="2" max="2" width="5" style="80" customWidth="1"/>
    <col min="3" max="3" width="31.33203125" style="79" customWidth="1"/>
    <col min="4" max="4" width="67.5546875" style="79" customWidth="1"/>
    <col min="5" max="5" width="101.88671875" style="79" customWidth="1"/>
    <col min="6" max="6" width="58.44140625" style="79" customWidth="1"/>
    <col min="7" max="7" width="18.88671875" style="80" customWidth="1"/>
    <col min="8" max="8" width="17.44140625" style="80" customWidth="1"/>
    <col min="9" max="9" width="16" style="80" customWidth="1"/>
    <col min="10" max="10" width="3.88671875" style="79" customWidth="1"/>
    <col min="11" max="11" width="16" style="81" hidden="1" customWidth="1"/>
    <col min="12" max="12" width="86.6640625" style="81" hidden="1" customWidth="1"/>
    <col min="13" max="13" width="5.33203125" style="79" hidden="1" customWidth="1"/>
    <col min="14" max="14" width="16.44140625" style="81" hidden="1" customWidth="1"/>
    <col min="15" max="15" width="64.88671875" style="81" hidden="1" customWidth="1"/>
    <col min="16" max="16" width="0" style="79" hidden="1" customWidth="1"/>
    <col min="17" max="17" width="11.44140625" style="79"/>
    <col min="18" max="18" width="13.44140625" style="79" bestFit="1" customWidth="1"/>
    <col min="19" max="16384" width="11.44140625" style="79"/>
  </cols>
  <sheetData>
    <row r="1" spans="1:15" ht="31.5" customHeight="1" x14ac:dyDescent="0.5">
      <c r="C1" s="303" t="s">
        <v>24</v>
      </c>
      <c r="F1" s="304" t="s">
        <v>267</v>
      </c>
      <c r="H1" s="305" t="s">
        <v>0</v>
      </c>
    </row>
    <row r="2" spans="1:15" ht="28.5" customHeight="1" x14ac:dyDescent="0.5">
      <c r="B2" s="306"/>
      <c r="D2" s="303"/>
      <c r="E2" s="303"/>
      <c r="G2" s="307"/>
      <c r="I2" s="308"/>
    </row>
    <row r="3" spans="1:15" ht="33" customHeight="1" x14ac:dyDescent="0.25">
      <c r="B3" s="306"/>
      <c r="C3" s="309" t="s">
        <v>355</v>
      </c>
      <c r="D3" s="318" t="s">
        <v>358</v>
      </c>
      <c r="E3" s="318"/>
      <c r="F3" s="318"/>
      <c r="G3" s="81"/>
      <c r="H3" s="81"/>
      <c r="I3" s="81"/>
    </row>
    <row r="4" spans="1:15" ht="40.5" customHeight="1" x14ac:dyDescent="0.4">
      <c r="F4" s="312" t="s">
        <v>1</v>
      </c>
      <c r="G4" s="312"/>
      <c r="H4" s="312"/>
      <c r="I4" s="312"/>
    </row>
    <row r="5" spans="1:15" ht="21" customHeight="1" thickBot="1" x14ac:dyDescent="0.45">
      <c r="B5" s="310" t="s">
        <v>146</v>
      </c>
      <c r="C5" s="308"/>
      <c r="D5" s="308"/>
      <c r="F5" s="311"/>
    </row>
    <row r="6" spans="1:15" ht="25.5" customHeight="1" x14ac:dyDescent="0.4">
      <c r="A6" s="302"/>
      <c r="B6" s="332" t="s">
        <v>356</v>
      </c>
      <c r="C6" s="333"/>
      <c r="D6" s="324"/>
      <c r="E6" s="325"/>
      <c r="F6" s="325"/>
      <c r="G6" s="325"/>
      <c r="H6" s="325"/>
      <c r="I6" s="326"/>
      <c r="J6" s="81"/>
      <c r="K6" s="102" t="s">
        <v>2</v>
      </c>
      <c r="L6" s="208"/>
      <c r="N6" s="102" t="s">
        <v>3</v>
      </c>
      <c r="O6" s="208"/>
    </row>
    <row r="7" spans="1:15" ht="25.5" customHeight="1" x14ac:dyDescent="0.4">
      <c r="A7" s="302"/>
      <c r="B7" s="334" t="s">
        <v>357</v>
      </c>
      <c r="C7" s="335"/>
      <c r="D7" s="327"/>
      <c r="E7" s="328"/>
      <c r="F7" s="329"/>
      <c r="G7" s="77" t="s">
        <v>4</v>
      </c>
      <c r="H7" s="313"/>
      <c r="I7" s="314"/>
      <c r="J7" s="81"/>
      <c r="K7" s="110"/>
      <c r="L7" s="218"/>
      <c r="N7" s="110"/>
      <c r="O7" s="218"/>
    </row>
    <row r="8" spans="1:15" ht="25.5" customHeight="1" thickBot="1" x14ac:dyDescent="0.45">
      <c r="A8" s="302"/>
      <c r="B8" s="336" t="s">
        <v>5</v>
      </c>
      <c r="C8" s="337"/>
      <c r="D8" s="330"/>
      <c r="E8" s="331"/>
      <c r="F8" s="78" t="s">
        <v>6</v>
      </c>
      <c r="G8" s="315"/>
      <c r="H8" s="316"/>
      <c r="I8" s="317"/>
      <c r="J8" s="81"/>
      <c r="K8" s="147"/>
      <c r="L8" s="222"/>
      <c r="N8" s="147"/>
      <c r="O8" s="222"/>
    </row>
    <row r="9" spans="1:15" ht="24" customHeight="1" thickBot="1" x14ac:dyDescent="0.35"/>
    <row r="10" spans="1:15" ht="65.400000000000006" customHeight="1" thickBot="1" x14ac:dyDescent="0.35">
      <c r="B10" s="87" t="s">
        <v>84</v>
      </c>
      <c r="C10" s="88" t="s">
        <v>29</v>
      </c>
      <c r="D10" s="88" t="s">
        <v>83</v>
      </c>
      <c r="E10" s="88" t="s">
        <v>36</v>
      </c>
      <c r="F10" s="88" t="s">
        <v>82</v>
      </c>
      <c r="G10" s="89" t="s">
        <v>7</v>
      </c>
      <c r="H10" s="90" t="s">
        <v>8</v>
      </c>
      <c r="I10" s="89" t="s">
        <v>9</v>
      </c>
      <c r="K10" s="91" t="s">
        <v>10</v>
      </c>
      <c r="L10" s="91" t="s">
        <v>11</v>
      </c>
      <c r="N10" s="91" t="s">
        <v>12</v>
      </c>
      <c r="O10" s="91" t="s">
        <v>11</v>
      </c>
    </row>
    <row r="11" spans="1:15" ht="24" customHeight="1" thickBot="1" x14ac:dyDescent="0.35">
      <c r="B11" s="92"/>
      <c r="C11" s="92"/>
      <c r="D11" s="92"/>
      <c r="E11" s="92"/>
      <c r="F11" s="92"/>
      <c r="G11" s="92"/>
      <c r="H11" s="92"/>
      <c r="I11" s="92"/>
    </row>
    <row r="12" spans="1:15" s="93" customFormat="1" ht="34.5" customHeight="1" thickBot="1" x14ac:dyDescent="0.35">
      <c r="B12" s="94" t="s">
        <v>53</v>
      </c>
      <c r="C12" s="95"/>
      <c r="D12" s="95"/>
      <c r="E12" s="95"/>
      <c r="F12" s="95"/>
      <c r="G12" s="95"/>
      <c r="H12" s="95"/>
      <c r="I12" s="96"/>
    </row>
    <row r="13" spans="1:15" ht="5.25" customHeight="1" x14ac:dyDescent="0.3">
      <c r="B13" s="97"/>
      <c r="C13" s="98"/>
      <c r="D13" s="98"/>
      <c r="E13" s="98"/>
      <c r="F13" s="98"/>
      <c r="G13" s="98"/>
      <c r="H13" s="98"/>
      <c r="I13" s="99"/>
      <c r="L13" s="100"/>
      <c r="O13" s="100"/>
    </row>
    <row r="14" spans="1:15" ht="23.25" customHeight="1" x14ac:dyDescent="0.3">
      <c r="B14" s="101">
        <v>1</v>
      </c>
      <c r="C14" s="102"/>
      <c r="D14" s="319" t="s">
        <v>168</v>
      </c>
      <c r="E14" s="104" t="s">
        <v>339</v>
      </c>
      <c r="F14" s="75" t="s">
        <v>271</v>
      </c>
      <c r="G14" s="105" t="s">
        <v>14</v>
      </c>
      <c r="H14" s="106">
        <f>IF(F14="","",VLOOKUP(F14,'Referencias NO Productivos'!E41:F43,2,FALSE))</f>
        <v>0</v>
      </c>
      <c r="I14" s="107"/>
      <c r="K14" s="104"/>
      <c r="L14" s="108"/>
      <c r="N14" s="104"/>
      <c r="O14" s="108"/>
    </row>
    <row r="15" spans="1:15" ht="5.25" customHeight="1" x14ac:dyDescent="0.3">
      <c r="B15" s="109"/>
      <c r="C15" s="110"/>
      <c r="D15" s="319"/>
      <c r="E15" s="111"/>
      <c r="F15" s="81"/>
      <c r="G15" s="105"/>
      <c r="H15" s="81"/>
      <c r="I15" s="112"/>
      <c r="L15" s="100"/>
      <c r="O15" s="100"/>
    </row>
    <row r="16" spans="1:15" ht="33" customHeight="1" x14ac:dyDescent="0.3">
      <c r="B16" s="109"/>
      <c r="C16" s="113" t="s">
        <v>25</v>
      </c>
      <c r="D16" s="320"/>
      <c r="E16" s="104" t="s">
        <v>268</v>
      </c>
      <c r="F16" s="25" t="s">
        <v>272</v>
      </c>
      <c r="G16" s="105" t="s">
        <v>14</v>
      </c>
      <c r="H16" s="106">
        <f>IF(F16="","",VLOOKUP(F16,'Referencias NO Productivos'!E44:F46,2,FALSE))</f>
        <v>0</v>
      </c>
      <c r="I16" s="107"/>
      <c r="K16" s="104"/>
      <c r="L16" s="108"/>
      <c r="N16" s="104"/>
      <c r="O16" s="108"/>
    </row>
    <row r="17" spans="2:15" ht="5.25" customHeight="1" x14ac:dyDescent="0.3">
      <c r="B17" s="109"/>
      <c r="C17" s="115"/>
      <c r="D17" s="116"/>
      <c r="E17" s="116"/>
      <c r="F17" s="81"/>
      <c r="G17" s="81"/>
      <c r="H17" s="117"/>
      <c r="I17" s="107"/>
      <c r="J17" s="117"/>
      <c r="K17" s="118"/>
      <c r="L17" s="100"/>
      <c r="M17" s="81"/>
      <c r="O17" s="100"/>
    </row>
    <row r="18" spans="2:15" s="129" customFormat="1" ht="25.5" customHeight="1" x14ac:dyDescent="0.3">
      <c r="B18" s="119"/>
      <c r="C18" s="120" t="s">
        <v>169</v>
      </c>
      <c r="D18" s="121"/>
      <c r="E18" s="122"/>
      <c r="F18" s="123" t="s">
        <v>142</v>
      </c>
      <c r="G18" s="124">
        <f>IF(SUM(H14+H16)&lt;=4,SUM(H14+H16),4)</f>
        <v>0</v>
      </c>
      <c r="H18" s="125"/>
      <c r="I18" s="126">
        <f>IF(SUM(H14+H16)&lt;=4,SUM(H14+H16),4)</f>
        <v>0</v>
      </c>
      <c r="J18" s="125"/>
      <c r="K18" s="127"/>
      <c r="L18" s="128"/>
      <c r="M18" s="92"/>
      <c r="N18" s="92"/>
      <c r="O18" s="128"/>
    </row>
    <row r="19" spans="2:15" ht="5.25" customHeight="1" x14ac:dyDescent="0.3">
      <c r="B19" s="130"/>
      <c r="C19" s="131"/>
      <c r="D19" s="131"/>
      <c r="E19" s="132"/>
      <c r="F19" s="132"/>
      <c r="G19" s="132"/>
      <c r="H19" s="132"/>
      <c r="I19" s="133"/>
      <c r="L19" s="100"/>
      <c r="O19" s="100"/>
    </row>
    <row r="20" spans="2:15" ht="84.75" customHeight="1" x14ac:dyDescent="0.45">
      <c r="B20" s="134">
        <v>2</v>
      </c>
      <c r="C20" s="135" t="s">
        <v>315</v>
      </c>
      <c r="D20" s="339" t="s">
        <v>340</v>
      </c>
      <c r="E20" s="137" t="s">
        <v>277</v>
      </c>
      <c r="F20" s="9" t="s">
        <v>281</v>
      </c>
      <c r="G20" s="114" t="s">
        <v>14</v>
      </c>
      <c r="H20" s="138">
        <f>IF(F20="","",VLOOKUP(F20,'Referencias NO Productivos'!E47:F49,2,FALSE))</f>
        <v>0</v>
      </c>
      <c r="I20" s="107"/>
      <c r="K20" s="104"/>
      <c r="L20" s="108"/>
      <c r="N20" s="104"/>
      <c r="O20" s="108"/>
    </row>
    <row r="21" spans="2:15" ht="5.25" customHeight="1" x14ac:dyDescent="0.3">
      <c r="B21" s="134"/>
      <c r="C21" s="110"/>
      <c r="D21" s="340"/>
      <c r="E21" s="117"/>
      <c r="F21" s="117"/>
      <c r="G21" s="117"/>
      <c r="H21" s="117"/>
      <c r="I21" s="107"/>
      <c r="L21" s="100"/>
      <c r="O21" s="100"/>
    </row>
    <row r="22" spans="2:15" ht="88.5" customHeight="1" x14ac:dyDescent="0.3">
      <c r="B22" s="134"/>
      <c r="C22" s="139" t="s">
        <v>316</v>
      </c>
      <c r="D22" s="341"/>
      <c r="E22" s="140" t="s">
        <v>276</v>
      </c>
      <c r="F22" s="1" t="s">
        <v>337</v>
      </c>
      <c r="G22" s="105" t="s">
        <v>14</v>
      </c>
      <c r="H22" s="141">
        <f>IF(F22="","",VLOOKUP(F22,'Referencias NO Productivos'!E50:F52,2,FALSE))</f>
        <v>0</v>
      </c>
      <c r="I22" s="107"/>
      <c r="K22" s="104"/>
      <c r="L22" s="108"/>
      <c r="N22" s="104"/>
      <c r="O22" s="108"/>
    </row>
    <row r="23" spans="2:15" ht="5.25" customHeight="1" x14ac:dyDescent="0.3">
      <c r="B23" s="109"/>
      <c r="C23" s="110"/>
      <c r="D23" s="117"/>
      <c r="E23" s="117"/>
      <c r="F23" s="117"/>
      <c r="G23" s="117"/>
      <c r="H23" s="117"/>
      <c r="I23" s="107"/>
      <c r="L23" s="100"/>
      <c r="O23" s="100"/>
    </row>
    <row r="24" spans="2:15" s="129" customFormat="1" ht="25.5" customHeight="1" x14ac:dyDescent="0.3">
      <c r="B24" s="119"/>
      <c r="C24" s="120" t="s">
        <v>139</v>
      </c>
      <c r="D24" s="121"/>
      <c r="E24" s="122"/>
      <c r="F24" s="123" t="s">
        <v>142</v>
      </c>
      <c r="G24" s="142">
        <f>IF(SUM(H20+H22)&lt;=4,SUM(H20+H22),4)</f>
        <v>0</v>
      </c>
      <c r="H24" s="92"/>
      <c r="I24" s="126">
        <f>IF(SUM(H20+H22)&lt;=4,SUM(H22+H20),4)</f>
        <v>0</v>
      </c>
      <c r="J24" s="125"/>
      <c r="K24" s="143"/>
      <c r="L24" s="128"/>
      <c r="M24" s="92"/>
      <c r="N24" s="144">
        <f>N20+N22</f>
        <v>0</v>
      </c>
      <c r="O24" s="128"/>
    </row>
    <row r="25" spans="2:15" ht="5.25" customHeight="1" x14ac:dyDescent="0.3">
      <c r="B25" s="130"/>
      <c r="C25" s="131"/>
      <c r="D25" s="131"/>
      <c r="E25" s="132"/>
      <c r="F25" s="132"/>
      <c r="G25" s="132"/>
      <c r="H25" s="132"/>
      <c r="I25" s="133"/>
      <c r="L25" s="100"/>
      <c r="O25" s="100"/>
    </row>
    <row r="26" spans="2:15" ht="23.25" customHeight="1" x14ac:dyDescent="0.45">
      <c r="B26" s="145">
        <v>3</v>
      </c>
      <c r="C26" s="135" t="s">
        <v>27</v>
      </c>
      <c r="D26" s="338" t="s">
        <v>45</v>
      </c>
      <c r="E26" s="140" t="s">
        <v>282</v>
      </c>
      <c r="F26" s="1" t="s">
        <v>287</v>
      </c>
      <c r="G26" s="105" t="s">
        <v>14</v>
      </c>
      <c r="H26" s="141">
        <f>IF(F26="","",VLOOKUP(F26,'Referencias NO Productivos'!E53:F58,2,FALSE))</f>
        <v>0</v>
      </c>
      <c r="I26" s="107"/>
      <c r="K26" s="104"/>
      <c r="L26" s="108"/>
      <c r="N26" s="104"/>
      <c r="O26" s="108"/>
    </row>
    <row r="27" spans="2:15" ht="5.25" customHeight="1" x14ac:dyDescent="0.3">
      <c r="B27" s="134"/>
      <c r="C27" s="110"/>
      <c r="D27" s="319"/>
      <c r="E27" s="117"/>
      <c r="F27" s="117"/>
      <c r="G27" s="117"/>
      <c r="H27" s="117"/>
      <c r="I27" s="107"/>
      <c r="L27" s="100"/>
      <c r="O27" s="100"/>
    </row>
    <row r="28" spans="2:15" x14ac:dyDescent="0.3">
      <c r="B28" s="134"/>
      <c r="C28" s="147"/>
      <c r="D28" s="320"/>
      <c r="E28" s="140" t="s">
        <v>283</v>
      </c>
      <c r="F28" s="1" t="s">
        <v>290</v>
      </c>
      <c r="G28" s="105" t="s">
        <v>14</v>
      </c>
      <c r="H28" s="141">
        <f>IF(F28="","",VLOOKUP(F28,'Referencias NO Productivos'!E53:F58,2,FALSE))</f>
        <v>0</v>
      </c>
      <c r="I28" s="107"/>
      <c r="K28" s="104"/>
      <c r="L28" s="108"/>
      <c r="N28" s="104"/>
      <c r="O28" s="108"/>
    </row>
    <row r="29" spans="2:15" ht="5.25" customHeight="1" x14ac:dyDescent="0.3">
      <c r="B29" s="109"/>
      <c r="C29" s="110"/>
      <c r="D29" s="117"/>
      <c r="E29" s="117"/>
      <c r="F29" s="117"/>
      <c r="G29" s="117"/>
      <c r="H29" s="117"/>
      <c r="I29" s="107"/>
      <c r="L29" s="100"/>
      <c r="O29" s="100"/>
    </row>
    <row r="30" spans="2:15" s="129" customFormat="1" ht="25.5" customHeight="1" x14ac:dyDescent="0.3">
      <c r="B30" s="119"/>
      <c r="C30" s="120" t="s">
        <v>140</v>
      </c>
      <c r="D30" s="121"/>
      <c r="E30" s="122"/>
      <c r="F30" s="123" t="s">
        <v>142</v>
      </c>
      <c r="G30" s="142">
        <v>4</v>
      </c>
      <c r="H30" s="92"/>
      <c r="I30" s="126">
        <f>IF(SUM(H26:H29)&lt;=4,SUM(H26:H29),4)</f>
        <v>0</v>
      </c>
      <c r="J30" s="125"/>
      <c r="K30" s="143"/>
      <c r="L30" s="128"/>
      <c r="M30" s="92"/>
      <c r="N30" s="144">
        <f>IF(SUM(N26:N29)&lt;=5,SUM(N26:N29),5)</f>
        <v>0</v>
      </c>
      <c r="O30" s="128"/>
    </row>
    <row r="31" spans="2:15" ht="5.25" customHeight="1" x14ac:dyDescent="0.3">
      <c r="B31" s="130"/>
      <c r="C31" s="132"/>
      <c r="D31" s="132"/>
      <c r="E31" s="132"/>
      <c r="F31" s="132"/>
      <c r="G31" s="132"/>
      <c r="H31" s="132"/>
      <c r="I31" s="133"/>
      <c r="L31" s="100"/>
      <c r="O31" s="100"/>
    </row>
    <row r="32" spans="2:15" ht="47.4" customHeight="1" x14ac:dyDescent="0.3">
      <c r="B32" s="148">
        <v>4</v>
      </c>
      <c r="C32" s="105" t="s">
        <v>28</v>
      </c>
      <c r="D32" s="105" t="s">
        <v>47</v>
      </c>
      <c r="E32" s="149" t="s">
        <v>106</v>
      </c>
      <c r="F32" s="2" t="s">
        <v>105</v>
      </c>
      <c r="G32" s="105" t="s">
        <v>16</v>
      </c>
      <c r="H32" s="141">
        <f>IF(F32="","",VLOOKUP(F32,'Referencias NO Productivos'!E59:F62,2,FALSE))</f>
        <v>0</v>
      </c>
      <c r="I32" s="107"/>
      <c r="K32" s="104"/>
      <c r="L32" s="108"/>
      <c r="N32" s="104"/>
      <c r="O32" s="108"/>
    </row>
    <row r="33" spans="2:15" ht="5.25" customHeight="1" x14ac:dyDescent="0.3">
      <c r="B33" s="148"/>
      <c r="C33" s="110"/>
      <c r="D33" s="117"/>
      <c r="E33" s="117"/>
      <c r="F33" s="117"/>
      <c r="G33" s="117"/>
      <c r="H33" s="117"/>
      <c r="I33" s="107"/>
      <c r="L33" s="100"/>
      <c r="O33" s="100"/>
    </row>
    <row r="34" spans="2:15" s="129" customFormat="1" ht="25.5" customHeight="1" x14ac:dyDescent="0.3">
      <c r="B34" s="148"/>
      <c r="C34" s="120" t="s">
        <v>141</v>
      </c>
      <c r="D34" s="121"/>
      <c r="E34" s="122"/>
      <c r="F34" s="150" t="s">
        <v>142</v>
      </c>
      <c r="G34" s="142">
        <f>H32</f>
        <v>0</v>
      </c>
      <c r="H34" s="92"/>
      <c r="I34" s="126">
        <f>H32</f>
        <v>0</v>
      </c>
      <c r="J34" s="125"/>
      <c r="K34" s="143">
        <f>K32</f>
        <v>0</v>
      </c>
      <c r="L34" s="128"/>
      <c r="M34" s="92"/>
      <c r="N34" s="144">
        <f>N32</f>
        <v>0</v>
      </c>
      <c r="O34" s="128"/>
    </row>
    <row r="35" spans="2:15" ht="5.25" customHeight="1" thickBot="1" x14ac:dyDescent="0.35">
      <c r="B35" s="151"/>
      <c r="C35" s="152"/>
      <c r="D35" s="152"/>
      <c r="E35" s="152"/>
      <c r="F35" s="152"/>
      <c r="G35" s="152"/>
      <c r="H35" s="152"/>
      <c r="I35" s="153"/>
      <c r="J35" s="117"/>
      <c r="K35" s="118"/>
      <c r="L35" s="100"/>
      <c r="M35" s="81"/>
      <c r="O35" s="100"/>
    </row>
    <row r="36" spans="2:15" ht="24" customHeight="1" thickBot="1" x14ac:dyDescent="0.35">
      <c r="B36" s="154"/>
      <c r="C36" s="154"/>
      <c r="D36" s="154"/>
      <c r="E36" s="154"/>
      <c r="F36" s="154"/>
      <c r="G36" s="154"/>
      <c r="H36" s="154"/>
      <c r="I36" s="154"/>
      <c r="L36" s="100"/>
      <c r="O36" s="100"/>
    </row>
    <row r="37" spans="2:15" s="162" customFormat="1" ht="34.5" customHeight="1" thickBot="1" x14ac:dyDescent="0.35">
      <c r="B37" s="155" t="s">
        <v>100</v>
      </c>
      <c r="C37" s="156"/>
      <c r="D37" s="156"/>
      <c r="E37" s="156"/>
      <c r="F37" s="156"/>
      <c r="G37" s="156"/>
      <c r="H37" s="157"/>
      <c r="I37" s="158">
        <f>IF(SUM(I18+I24+I30+I34)&lt;=15,SUM(I18+I24+I30+I34),15)</f>
        <v>0</v>
      </c>
      <c r="J37" s="159"/>
      <c r="K37" s="160" t="e">
        <f>#REF!+K24+K34</f>
        <v>#REF!</v>
      </c>
      <c r="L37" s="161"/>
      <c r="N37" s="161" t="e">
        <f>#REF!+N24+N34</f>
        <v>#REF!</v>
      </c>
      <c r="O37" s="161"/>
    </row>
    <row r="38" spans="2:15" ht="24" customHeight="1" thickBot="1" x14ac:dyDescent="0.35">
      <c r="B38" s="154"/>
      <c r="C38" s="154"/>
      <c r="D38" s="154"/>
      <c r="E38" s="154"/>
      <c r="F38" s="154"/>
      <c r="G38" s="154"/>
      <c r="H38" s="154"/>
      <c r="I38" s="154"/>
      <c r="L38" s="100"/>
      <c r="O38" s="100"/>
    </row>
    <row r="39" spans="2:15" s="93" customFormat="1" ht="34.5" customHeight="1" thickBot="1" x14ac:dyDescent="0.35">
      <c r="B39" s="163" t="s">
        <v>54</v>
      </c>
      <c r="C39" s="164"/>
      <c r="D39" s="164"/>
      <c r="E39" s="164"/>
      <c r="F39" s="164"/>
      <c r="G39" s="164"/>
      <c r="H39" s="164"/>
      <c r="I39" s="165"/>
    </row>
    <row r="40" spans="2:15" ht="48" customHeight="1" x14ac:dyDescent="0.3">
      <c r="B40" s="166" t="s">
        <v>145</v>
      </c>
      <c r="C40" s="167"/>
      <c r="D40" s="167"/>
      <c r="E40" s="167"/>
      <c r="F40" s="167"/>
      <c r="G40" s="168"/>
      <c r="H40" s="169" t="s">
        <v>5</v>
      </c>
      <c r="I40" s="76" t="s">
        <v>179</v>
      </c>
      <c r="J40" s="170"/>
      <c r="L40" s="100"/>
      <c r="O40" s="100"/>
    </row>
    <row r="41" spans="2:15" ht="5.25" customHeight="1" x14ac:dyDescent="0.3">
      <c r="B41" s="171"/>
      <c r="C41" s="116"/>
      <c r="D41" s="116"/>
      <c r="E41" s="116"/>
      <c r="F41" s="116"/>
      <c r="G41" s="116"/>
      <c r="H41" s="116"/>
      <c r="I41" s="172"/>
      <c r="J41" s="170"/>
      <c r="L41" s="100"/>
      <c r="O41" s="100"/>
    </row>
    <row r="42" spans="2:15" ht="25.5" customHeight="1" x14ac:dyDescent="0.3">
      <c r="B42" s="145"/>
      <c r="C42" s="173"/>
      <c r="D42" s="174" t="s">
        <v>48</v>
      </c>
      <c r="E42" s="175" t="s">
        <v>67</v>
      </c>
      <c r="F42" s="176"/>
      <c r="G42" s="177" t="s">
        <v>50</v>
      </c>
      <c r="H42" s="141">
        <f>VLOOKUP($I$40,'Referencias NO Productivos'!B7:AG35,3,FALSE)</f>
        <v>0</v>
      </c>
      <c r="I42" s="107"/>
      <c r="K42" s="104">
        <f>H42</f>
        <v>0</v>
      </c>
      <c r="L42" s="108"/>
      <c r="N42" s="104">
        <f>H42</f>
        <v>0</v>
      </c>
      <c r="O42" s="108"/>
    </row>
    <row r="43" spans="2:15" ht="5.25" customHeight="1" x14ac:dyDescent="0.3">
      <c r="B43" s="134"/>
      <c r="C43" s="103"/>
      <c r="D43" s="178"/>
      <c r="E43" s="111"/>
      <c r="F43" s="81"/>
      <c r="G43" s="81"/>
      <c r="H43" s="81"/>
      <c r="I43" s="112"/>
      <c r="K43" s="179"/>
      <c r="L43" s="100"/>
      <c r="N43" s="179"/>
      <c r="O43" s="100"/>
    </row>
    <row r="44" spans="2:15" x14ac:dyDescent="0.3">
      <c r="B44" s="134"/>
      <c r="C44" s="103"/>
      <c r="D44" s="176" t="s">
        <v>49</v>
      </c>
      <c r="E44" s="175" t="s">
        <v>66</v>
      </c>
      <c r="F44" s="176"/>
      <c r="G44" s="105" t="s">
        <v>17</v>
      </c>
      <c r="H44" s="141">
        <f>VLOOKUP($I$40,'Referencias NO Productivos'!B7:AE35,5,FALSE)</f>
        <v>0</v>
      </c>
      <c r="I44" s="107"/>
      <c r="K44" s="104">
        <f t="shared" ref="K44:K54" si="0">H44</f>
        <v>0</v>
      </c>
      <c r="L44" s="108"/>
      <c r="N44" s="104">
        <f t="shared" ref="N44:N54" si="1">H44</f>
        <v>0</v>
      </c>
      <c r="O44" s="108"/>
    </row>
    <row r="45" spans="2:15" ht="5.25" customHeight="1" x14ac:dyDescent="0.3">
      <c r="B45" s="134"/>
      <c r="C45" s="103"/>
      <c r="D45" s="178"/>
      <c r="E45" s="111"/>
      <c r="F45" s="81"/>
      <c r="G45" s="81"/>
      <c r="H45" s="81"/>
      <c r="I45" s="112"/>
      <c r="K45" s="179"/>
      <c r="L45" s="100"/>
      <c r="N45" s="179"/>
      <c r="O45" s="100"/>
    </row>
    <row r="46" spans="2:15" x14ac:dyDescent="0.3">
      <c r="B46" s="134"/>
      <c r="C46" s="180"/>
      <c r="D46" s="174" t="s">
        <v>170</v>
      </c>
      <c r="E46" s="175" t="s">
        <v>65</v>
      </c>
      <c r="F46" s="176"/>
      <c r="G46" s="177" t="s">
        <v>18</v>
      </c>
      <c r="H46" s="141">
        <f>VLOOKUP($I$40,'Referencias NO Productivos'!B7:AE35,7,FALSE)</f>
        <v>0</v>
      </c>
      <c r="I46" s="107"/>
      <c r="K46" s="104">
        <f t="shared" si="0"/>
        <v>0</v>
      </c>
      <c r="L46" s="108"/>
      <c r="N46" s="104">
        <f t="shared" si="1"/>
        <v>0</v>
      </c>
      <c r="O46" s="108"/>
    </row>
    <row r="47" spans="2:15" ht="5.25" customHeight="1" x14ac:dyDescent="0.3">
      <c r="B47" s="134"/>
      <c r="C47" s="180"/>
      <c r="D47" s="178"/>
      <c r="E47" s="178"/>
      <c r="F47" s="178"/>
      <c r="G47" s="117"/>
      <c r="H47" s="181"/>
      <c r="I47" s="107"/>
      <c r="K47" s="104"/>
      <c r="L47" s="100"/>
      <c r="N47" s="104"/>
      <c r="O47" s="100"/>
    </row>
    <row r="48" spans="2:15" ht="25.5" customHeight="1" x14ac:dyDescent="0.3">
      <c r="B48" s="134">
        <v>5</v>
      </c>
      <c r="C48" s="103" t="s">
        <v>312</v>
      </c>
      <c r="D48" s="174" t="s">
        <v>171</v>
      </c>
      <c r="E48" s="175" t="s">
        <v>64</v>
      </c>
      <c r="F48" s="176"/>
      <c r="G48" s="177" t="s">
        <v>17</v>
      </c>
      <c r="H48" s="141">
        <f>VLOOKUP($I$40,'Referencias NO Productivos'!B7:AE35,9,FALSE)</f>
        <v>0</v>
      </c>
      <c r="I48" s="107"/>
      <c r="K48" s="104"/>
      <c r="L48" s="100"/>
      <c r="N48" s="104"/>
      <c r="O48" s="100"/>
    </row>
    <row r="49" spans="2:15" ht="5.25" customHeight="1" x14ac:dyDescent="0.3">
      <c r="B49" s="134"/>
      <c r="C49" s="103"/>
      <c r="D49" s="178"/>
      <c r="E49" s="178"/>
      <c r="F49" s="178"/>
      <c r="G49" s="117"/>
      <c r="H49" s="181"/>
      <c r="I49" s="107"/>
      <c r="K49" s="104"/>
      <c r="L49" s="100"/>
      <c r="N49" s="104"/>
      <c r="O49" s="100"/>
    </row>
    <row r="50" spans="2:15" x14ac:dyDescent="0.3">
      <c r="B50" s="134"/>
      <c r="C50" s="182" t="s">
        <v>313</v>
      </c>
      <c r="D50" s="174" t="s">
        <v>172</v>
      </c>
      <c r="E50" s="175" t="s">
        <v>63</v>
      </c>
      <c r="F50" s="176"/>
      <c r="G50" s="177" t="s">
        <v>50</v>
      </c>
      <c r="H50" s="141">
        <f>VLOOKUP($I$40,'Referencias NO Productivos'!B7:AE35,11,FALSE)</f>
        <v>0</v>
      </c>
      <c r="I50" s="107"/>
      <c r="K50" s="104"/>
      <c r="L50" s="100"/>
      <c r="N50" s="104"/>
      <c r="O50" s="100"/>
    </row>
    <row r="51" spans="2:15" ht="5.25" customHeight="1" x14ac:dyDescent="0.3">
      <c r="B51" s="134"/>
      <c r="C51" s="103"/>
      <c r="D51" s="178"/>
      <c r="E51" s="178"/>
      <c r="F51" s="178"/>
      <c r="G51" s="117"/>
      <c r="H51" s="181"/>
      <c r="I51" s="107"/>
      <c r="K51" s="104"/>
      <c r="L51" s="100"/>
      <c r="N51" s="104"/>
      <c r="O51" s="100"/>
    </row>
    <row r="52" spans="2:15" x14ac:dyDescent="0.3">
      <c r="B52" s="134"/>
      <c r="C52" s="103" t="s">
        <v>314</v>
      </c>
      <c r="D52" s="174" t="s">
        <v>173</v>
      </c>
      <c r="E52" s="175" t="s">
        <v>62</v>
      </c>
      <c r="F52" s="176"/>
      <c r="G52" s="177" t="s">
        <v>17</v>
      </c>
      <c r="H52" s="141">
        <f>VLOOKUP($I$40,'Referencias NO Productivos'!B7:AE35,13,FALSE)</f>
        <v>0</v>
      </c>
      <c r="I52" s="107"/>
      <c r="K52" s="104"/>
      <c r="L52" s="100"/>
      <c r="N52" s="104"/>
      <c r="O52" s="100"/>
    </row>
    <row r="53" spans="2:15" ht="5.25" customHeight="1" x14ac:dyDescent="0.3">
      <c r="B53" s="134"/>
      <c r="C53" s="103"/>
      <c r="D53" s="178"/>
      <c r="E53" s="81"/>
      <c r="F53" s="81"/>
      <c r="G53" s="81"/>
      <c r="H53" s="81"/>
      <c r="I53" s="112"/>
      <c r="K53" s="179"/>
      <c r="L53" s="100"/>
      <c r="N53" s="179"/>
      <c r="O53" s="100"/>
    </row>
    <row r="54" spans="2:15" ht="25.5" customHeight="1" x14ac:dyDescent="0.3">
      <c r="B54" s="134"/>
      <c r="C54" s="103"/>
      <c r="D54" s="174" t="s">
        <v>165</v>
      </c>
      <c r="E54" s="175" t="s">
        <v>61</v>
      </c>
      <c r="F54" s="176"/>
      <c r="G54" s="177" t="s">
        <v>14</v>
      </c>
      <c r="H54" s="141">
        <f>VLOOKUP($I$40,'Referencias NO Productivos'!B7:AE35,15,FALSE)</f>
        <v>0</v>
      </c>
      <c r="I54" s="107"/>
      <c r="K54" s="104">
        <f t="shared" si="0"/>
        <v>0</v>
      </c>
      <c r="L54" s="108"/>
      <c r="N54" s="104">
        <f t="shared" si="1"/>
        <v>0</v>
      </c>
      <c r="O54" s="108"/>
    </row>
    <row r="55" spans="2:15" ht="5.25" customHeight="1" x14ac:dyDescent="0.3">
      <c r="B55" s="134"/>
      <c r="C55" s="103"/>
      <c r="D55" s="81"/>
      <c r="E55" s="81"/>
      <c r="F55" s="81"/>
      <c r="G55" s="117"/>
      <c r="H55" s="117"/>
      <c r="I55" s="107"/>
      <c r="L55" s="100"/>
      <c r="O55" s="100"/>
    </row>
    <row r="56" spans="2:15" s="129" customFormat="1" x14ac:dyDescent="0.3">
      <c r="B56" s="134"/>
      <c r="C56" s="103"/>
      <c r="D56" s="140" t="s">
        <v>166</v>
      </c>
      <c r="E56" s="183" t="s">
        <v>58</v>
      </c>
      <c r="F56" s="176"/>
      <c r="G56" s="105" t="s">
        <v>14</v>
      </c>
      <c r="H56" s="141">
        <f>VLOOKUP($I$40,'Referencias NO Productivos'!B7:AE35,17,FALSE)</f>
        <v>0</v>
      </c>
      <c r="I56" s="107"/>
      <c r="J56" s="184"/>
      <c r="K56" s="143">
        <f>K42+K44+K46+K54</f>
        <v>0</v>
      </c>
      <c r="L56" s="128"/>
      <c r="M56" s="92"/>
      <c r="N56" s="144">
        <f>N42+N44+N46+N54</f>
        <v>0</v>
      </c>
      <c r="O56" s="128"/>
    </row>
    <row r="57" spans="2:15" ht="5.25" customHeight="1" x14ac:dyDescent="0.3">
      <c r="B57" s="134"/>
      <c r="C57" s="103"/>
      <c r="D57" s="185"/>
      <c r="E57" s="185"/>
      <c r="F57" s="185"/>
      <c r="G57" s="186"/>
      <c r="H57" s="185"/>
      <c r="I57" s="107"/>
      <c r="L57" s="100"/>
      <c r="O57" s="100"/>
    </row>
    <row r="58" spans="2:15" x14ac:dyDescent="0.3">
      <c r="B58" s="134"/>
      <c r="C58" s="103"/>
      <c r="D58" s="140" t="s">
        <v>174</v>
      </c>
      <c r="E58" s="174" t="s">
        <v>57</v>
      </c>
      <c r="F58" s="176"/>
      <c r="G58" s="105" t="s">
        <v>50</v>
      </c>
      <c r="H58" s="141">
        <f>VLOOKUP($I$40,'Referencias NO Productivos'!B7:AE35,19,FALSE)</f>
        <v>0</v>
      </c>
      <c r="I58" s="107"/>
      <c r="K58" s="104">
        <f>H66</f>
        <v>0</v>
      </c>
      <c r="L58" s="108"/>
      <c r="N58" s="104">
        <f>H66</f>
        <v>0</v>
      </c>
      <c r="O58" s="108"/>
    </row>
    <row r="59" spans="2:15" ht="5.25" customHeight="1" x14ac:dyDescent="0.3">
      <c r="B59" s="134"/>
      <c r="C59" s="103"/>
      <c r="D59" s="177"/>
      <c r="E59" s="178"/>
      <c r="F59" s="178"/>
      <c r="G59" s="117"/>
      <c r="H59" s="181"/>
      <c r="I59" s="107"/>
      <c r="K59" s="187"/>
      <c r="L59" s="100"/>
      <c r="N59" s="179"/>
      <c r="O59" s="100"/>
    </row>
    <row r="60" spans="2:15" ht="46.8" x14ac:dyDescent="0.3">
      <c r="B60" s="134"/>
      <c r="C60" s="103"/>
      <c r="D60" s="176" t="s">
        <v>175</v>
      </c>
      <c r="E60" s="174" t="s">
        <v>55</v>
      </c>
      <c r="F60" s="176"/>
      <c r="G60" s="105" t="s">
        <v>14</v>
      </c>
      <c r="H60" s="141">
        <f>VLOOKUP($I$40,'Referencias NO Productivos'!B7:AE35,21,FALSE)</f>
        <v>0</v>
      </c>
      <c r="I60" s="107"/>
      <c r="K60" s="104">
        <f>H68</f>
        <v>0</v>
      </c>
      <c r="L60" s="108"/>
      <c r="N60" s="104">
        <f>H68</f>
        <v>0</v>
      </c>
      <c r="O60" s="108"/>
    </row>
    <row r="61" spans="2:15" ht="5.25" customHeight="1" x14ac:dyDescent="0.3">
      <c r="B61" s="134"/>
      <c r="C61" s="103"/>
      <c r="D61" s="177"/>
      <c r="E61" s="188"/>
      <c r="F61" s="140"/>
      <c r="G61" s="105"/>
      <c r="H61" s="189"/>
      <c r="I61" s="107"/>
      <c r="K61" s="187"/>
      <c r="L61" s="100"/>
      <c r="N61" s="179"/>
      <c r="O61" s="100"/>
    </row>
    <row r="62" spans="2:15" x14ac:dyDescent="0.3">
      <c r="B62" s="134"/>
      <c r="C62" s="114"/>
      <c r="D62" s="140" t="s">
        <v>167</v>
      </c>
      <c r="E62" s="174" t="s">
        <v>56</v>
      </c>
      <c r="F62" s="176"/>
      <c r="G62" s="105" t="s">
        <v>17</v>
      </c>
      <c r="H62" s="141">
        <f>VLOOKUP($I$40,'Referencias NO Productivos'!B7:AE35,23,FALSE)</f>
        <v>0</v>
      </c>
      <c r="I62" s="107"/>
      <c r="K62" s="104">
        <f>H70</f>
        <v>0</v>
      </c>
      <c r="L62" s="108"/>
      <c r="N62" s="104">
        <f>H70</f>
        <v>0</v>
      </c>
      <c r="O62" s="108"/>
    </row>
    <row r="63" spans="2:15" ht="5.25" customHeight="1" x14ac:dyDescent="0.3">
      <c r="B63" s="134"/>
      <c r="C63" s="111"/>
      <c r="D63" s="81"/>
      <c r="E63" s="81"/>
      <c r="F63" s="81"/>
      <c r="G63" s="81"/>
      <c r="H63" s="81"/>
      <c r="I63" s="112"/>
      <c r="L63" s="100"/>
      <c r="O63" s="100"/>
    </row>
    <row r="64" spans="2:15" s="129" customFormat="1" ht="25.5" customHeight="1" x14ac:dyDescent="0.3">
      <c r="B64" s="190"/>
      <c r="C64" s="120" t="s">
        <v>180</v>
      </c>
      <c r="D64" s="121"/>
      <c r="E64" s="122"/>
      <c r="F64" s="123" t="s">
        <v>142</v>
      </c>
      <c r="G64" s="142">
        <f>H42+H44+H46+H48+H50+H52+H54+H56+H58+H60+H62</f>
        <v>0</v>
      </c>
      <c r="H64" s="92"/>
      <c r="I64" s="191">
        <f>VLOOKUP($I$40,'Referencias NO Productivos'!B7:AE35,24,FALSE)</f>
        <v>0</v>
      </c>
      <c r="J64" s="184"/>
      <c r="K64" s="143">
        <f>K58+K60+K62</f>
        <v>0</v>
      </c>
      <c r="L64" s="128"/>
      <c r="M64" s="92"/>
      <c r="N64" s="144">
        <f>N58+N60+N62</f>
        <v>0</v>
      </c>
      <c r="O64" s="128"/>
    </row>
    <row r="65" spans="2:18" ht="6" customHeight="1" x14ac:dyDescent="0.3">
      <c r="B65" s="192"/>
      <c r="C65" s="81"/>
      <c r="D65" s="81"/>
      <c r="E65" s="81"/>
      <c r="F65" s="81"/>
      <c r="G65" s="81"/>
      <c r="H65" s="81"/>
      <c r="I65" s="112"/>
      <c r="L65" s="100"/>
      <c r="O65" s="100"/>
    </row>
    <row r="66" spans="2:18" ht="23.25" customHeight="1" x14ac:dyDescent="0.45">
      <c r="B66" s="145">
        <v>6</v>
      </c>
      <c r="C66" s="193" t="s">
        <v>312</v>
      </c>
      <c r="D66" s="177" t="s">
        <v>51</v>
      </c>
      <c r="E66" s="175" t="s">
        <v>60</v>
      </c>
      <c r="F66" s="176"/>
      <c r="G66" s="105">
        <v>0.25</v>
      </c>
      <c r="H66" s="141">
        <f>VLOOKUP($I$40,'Referencias NO Productivos'!B7:AE35,26,FALSE)</f>
        <v>0</v>
      </c>
      <c r="I66" s="112"/>
      <c r="L66" s="100"/>
      <c r="O66" s="100"/>
    </row>
    <row r="67" spans="2:18" ht="6" customHeight="1" x14ac:dyDescent="0.3">
      <c r="B67" s="134"/>
      <c r="C67" s="103"/>
      <c r="D67" s="81"/>
      <c r="E67" s="81"/>
      <c r="F67" s="81"/>
      <c r="G67" s="81"/>
      <c r="H67" s="81"/>
      <c r="I67" s="112"/>
      <c r="L67" s="100"/>
      <c r="O67" s="100"/>
    </row>
    <row r="68" spans="2:18" x14ac:dyDescent="0.3">
      <c r="B68" s="134"/>
      <c r="C68" s="103"/>
      <c r="D68" s="177" t="s">
        <v>52</v>
      </c>
      <c r="E68" s="174" t="s">
        <v>176</v>
      </c>
      <c r="F68" s="176"/>
      <c r="G68" s="105" t="s">
        <v>50</v>
      </c>
      <c r="H68" s="141">
        <f>VLOOKUP($I$40,'Referencias NO Productivos'!B7:AE35,28,FALSE)</f>
        <v>0</v>
      </c>
      <c r="I68" s="112"/>
      <c r="L68" s="100"/>
      <c r="O68" s="100"/>
    </row>
    <row r="69" spans="2:18" ht="6" customHeight="1" x14ac:dyDescent="0.3">
      <c r="B69" s="134"/>
      <c r="C69" s="103"/>
      <c r="D69" s="81"/>
      <c r="E69" s="81"/>
      <c r="F69" s="81"/>
      <c r="G69" s="81"/>
      <c r="H69" s="81"/>
      <c r="I69" s="112"/>
      <c r="L69" s="100"/>
      <c r="O69" s="100"/>
    </row>
    <row r="70" spans="2:18" ht="25.5" customHeight="1" x14ac:dyDescent="0.3">
      <c r="B70" s="190"/>
      <c r="C70" s="194" t="s">
        <v>317</v>
      </c>
      <c r="D70" s="177" t="s">
        <v>177</v>
      </c>
      <c r="E70" s="174" t="s">
        <v>59</v>
      </c>
      <c r="F70" s="176"/>
      <c r="G70" s="105" t="s">
        <v>178</v>
      </c>
      <c r="H70" s="141">
        <f>VLOOKUP($I$40,'Referencias NO Productivos'!B7:AE35,30,FALSE)</f>
        <v>0</v>
      </c>
      <c r="I70" s="107"/>
      <c r="K70" s="104">
        <f>H60</f>
        <v>0</v>
      </c>
      <c r="L70" s="108"/>
      <c r="N70" s="104">
        <f>H60</f>
        <v>0</v>
      </c>
      <c r="O70" s="108"/>
    </row>
    <row r="71" spans="2:18" ht="5.25" customHeight="1" x14ac:dyDescent="0.3">
      <c r="B71" s="119"/>
      <c r="C71" s="111"/>
      <c r="D71" s="81"/>
      <c r="E71" s="81"/>
      <c r="F71" s="81"/>
      <c r="G71" s="81"/>
      <c r="H71" s="81"/>
      <c r="I71" s="112"/>
      <c r="L71" s="100"/>
      <c r="O71" s="100"/>
    </row>
    <row r="72" spans="2:18" s="129" customFormat="1" ht="25.5" customHeight="1" x14ac:dyDescent="0.3">
      <c r="B72" s="148"/>
      <c r="C72" s="120" t="s">
        <v>143</v>
      </c>
      <c r="D72" s="121"/>
      <c r="E72" s="122"/>
      <c r="F72" s="123" t="s">
        <v>142</v>
      </c>
      <c r="G72" s="142">
        <f>H66+H68+H70</f>
        <v>0</v>
      </c>
      <c r="H72" s="92"/>
      <c r="I72" s="191">
        <f>VLOOKUP($I$40,'Referencias NO Productivos'!B7:AG35,31,FALSE)</f>
        <v>0</v>
      </c>
      <c r="J72" s="184"/>
      <c r="K72" s="143" t="e">
        <f>K70+#REF!</f>
        <v>#REF!</v>
      </c>
      <c r="L72" s="128"/>
      <c r="M72" s="92"/>
      <c r="N72" s="144" t="e">
        <f>N70+#REF!</f>
        <v>#REF!</v>
      </c>
      <c r="O72" s="128"/>
    </row>
    <row r="73" spans="2:18" ht="5.25" customHeight="1" thickBot="1" x14ac:dyDescent="0.35">
      <c r="B73" s="195"/>
      <c r="C73" s="154"/>
      <c r="D73" s="154"/>
      <c r="E73" s="154"/>
      <c r="F73" s="154"/>
      <c r="G73" s="154"/>
      <c r="H73" s="154"/>
      <c r="I73" s="196"/>
      <c r="L73" s="100"/>
      <c r="O73" s="100"/>
    </row>
    <row r="74" spans="2:18" ht="24" customHeight="1" thickBot="1" x14ac:dyDescent="0.35">
      <c r="B74" s="81"/>
      <c r="C74" s="81"/>
      <c r="D74" s="81"/>
      <c r="E74" s="81"/>
      <c r="F74" s="81"/>
      <c r="G74" s="81"/>
      <c r="H74" s="81"/>
      <c r="I74" s="81"/>
      <c r="L74" s="100"/>
      <c r="O74" s="100"/>
    </row>
    <row r="75" spans="2:18" s="162" customFormat="1" ht="34.5" customHeight="1" thickBot="1" x14ac:dyDescent="0.35">
      <c r="B75" s="197" t="s">
        <v>19</v>
      </c>
      <c r="C75" s="198"/>
      <c r="D75" s="198"/>
      <c r="E75" s="198"/>
      <c r="F75" s="198"/>
      <c r="G75" s="198"/>
      <c r="H75" s="199"/>
      <c r="I75" s="200">
        <f>VLOOKUP($I$40,'Referencias NO Productivos'!B7:AG35,32,FALSE)</f>
        <v>15.25</v>
      </c>
      <c r="J75" s="159"/>
      <c r="K75" s="160" t="e">
        <f>K56+K64+K72</f>
        <v>#REF!</v>
      </c>
      <c r="L75" s="161"/>
      <c r="N75" s="161" t="e">
        <f>N56+N64+N72</f>
        <v>#REF!</v>
      </c>
      <c r="O75" s="161"/>
      <c r="R75" s="159"/>
    </row>
    <row r="76" spans="2:18" ht="24" customHeight="1" thickBot="1" x14ac:dyDescent="0.35">
      <c r="B76" s="201"/>
      <c r="C76" s="201"/>
      <c r="D76" s="201"/>
      <c r="E76" s="201"/>
      <c r="F76" s="201"/>
      <c r="G76" s="201"/>
      <c r="H76" s="201"/>
      <c r="I76" s="201"/>
      <c r="L76" s="100"/>
      <c r="O76" s="100"/>
    </row>
    <row r="77" spans="2:18" s="93" customFormat="1" ht="34.5" customHeight="1" thickBot="1" x14ac:dyDescent="0.35">
      <c r="B77" s="202" t="s">
        <v>299</v>
      </c>
      <c r="C77" s="203"/>
      <c r="D77" s="203"/>
      <c r="E77" s="203"/>
      <c r="F77" s="203"/>
      <c r="G77" s="203"/>
      <c r="H77" s="203"/>
      <c r="I77" s="204"/>
    </row>
    <row r="78" spans="2:18" ht="5.25" customHeight="1" x14ac:dyDescent="0.3">
      <c r="B78" s="205"/>
      <c r="C78" s="206"/>
      <c r="D78" s="206"/>
      <c r="E78" s="206"/>
      <c r="F78" s="206"/>
      <c r="G78" s="206"/>
      <c r="H78" s="206"/>
      <c r="I78" s="207"/>
    </row>
    <row r="79" spans="2:18" ht="23.25" customHeight="1" x14ac:dyDescent="0.3">
      <c r="B79" s="101">
        <v>9</v>
      </c>
      <c r="C79" s="208" t="s">
        <v>68</v>
      </c>
      <c r="D79" s="136" t="s">
        <v>291</v>
      </c>
      <c r="E79" s="104" t="s">
        <v>292</v>
      </c>
      <c r="F79" s="73" t="s">
        <v>103</v>
      </c>
      <c r="G79" s="105" t="s">
        <v>293</v>
      </c>
      <c r="H79" s="209">
        <f>IF(F79="","",VLOOKUP(F79,'Referencias NO Productivos'!E66:F67,2,FALSE))</f>
        <v>0</v>
      </c>
      <c r="I79" s="210">
        <f>H79</f>
        <v>0</v>
      </c>
      <c r="L79" s="100"/>
      <c r="O79" s="100"/>
    </row>
    <row r="80" spans="2:18" ht="5.25" customHeight="1" x14ac:dyDescent="0.3">
      <c r="B80" s="109"/>
      <c r="C80" s="211"/>
      <c r="D80" s="211"/>
      <c r="E80" s="211"/>
      <c r="F80" s="211"/>
      <c r="G80" s="211"/>
      <c r="H80" s="211"/>
      <c r="I80" s="107"/>
      <c r="L80" s="100"/>
      <c r="O80" s="100"/>
    </row>
    <row r="81" spans="2:15" s="129" customFormat="1" ht="25.5" customHeight="1" x14ac:dyDescent="0.3">
      <c r="B81" s="119"/>
      <c r="C81" s="212" t="s">
        <v>144</v>
      </c>
      <c r="D81" s="213"/>
      <c r="E81" s="214"/>
      <c r="F81" s="215" t="s">
        <v>142</v>
      </c>
      <c r="G81" s="216">
        <f>H79</f>
        <v>0</v>
      </c>
      <c r="H81" s="125"/>
      <c r="I81" s="191">
        <f>I79</f>
        <v>0</v>
      </c>
      <c r="J81" s="184"/>
      <c r="K81" s="143" t="e">
        <f>K79+#REF!+#REF!</f>
        <v>#REF!</v>
      </c>
      <c r="L81" s="128"/>
      <c r="M81" s="92"/>
      <c r="N81" s="144" t="e">
        <f>N79+#REF!+#REF!</f>
        <v>#REF!</v>
      </c>
      <c r="O81" s="128"/>
    </row>
    <row r="82" spans="2:15" ht="5.25" customHeight="1" x14ac:dyDescent="0.3">
      <c r="B82" s="145"/>
      <c r="C82" s="211"/>
      <c r="D82" s="211"/>
      <c r="E82" s="211"/>
      <c r="F82" s="211"/>
      <c r="G82" s="211"/>
      <c r="H82" s="211"/>
      <c r="I82" s="217"/>
      <c r="K82" s="104"/>
      <c r="L82" s="108"/>
      <c r="N82" s="104"/>
      <c r="O82" s="108"/>
    </row>
    <row r="83" spans="2:15" x14ac:dyDescent="0.3">
      <c r="B83" s="101">
        <v>10</v>
      </c>
      <c r="C83" s="208" t="s">
        <v>69</v>
      </c>
      <c r="D83" s="149" t="s">
        <v>70</v>
      </c>
      <c r="E83" s="149" t="s">
        <v>341</v>
      </c>
      <c r="F83" s="73" t="s">
        <v>103</v>
      </c>
      <c r="G83" s="105" t="s">
        <v>20</v>
      </c>
      <c r="H83" s="209">
        <f>IF(F83="","",VLOOKUP(F83,'Referencias NO Productivos'!E68:F70,2,FALSE))</f>
        <v>0</v>
      </c>
      <c r="I83" s="210">
        <f>H83</f>
        <v>0</v>
      </c>
      <c r="K83" s="104"/>
      <c r="L83" s="108"/>
      <c r="N83" s="104"/>
      <c r="O83" s="108"/>
    </row>
    <row r="84" spans="2:15" ht="5.25" customHeight="1" x14ac:dyDescent="0.3">
      <c r="B84" s="109"/>
      <c r="C84" s="218"/>
      <c r="D84" s="144"/>
      <c r="E84" s="144"/>
      <c r="F84" s="219"/>
      <c r="G84" s="219"/>
      <c r="H84" s="220"/>
      <c r="I84" s="221"/>
      <c r="L84" s="100"/>
      <c r="O84" s="100"/>
    </row>
    <row r="85" spans="2:15" ht="41.4" x14ac:dyDescent="0.3">
      <c r="B85" s="109"/>
      <c r="C85" s="222"/>
      <c r="D85" s="104" t="s">
        <v>71</v>
      </c>
      <c r="E85" s="104" t="s">
        <v>297</v>
      </c>
      <c r="F85" s="73" t="s">
        <v>103</v>
      </c>
      <c r="G85" s="105" t="s">
        <v>20</v>
      </c>
      <c r="H85" s="209">
        <f>IF(F85="","",VLOOKUP(F85,'Referencias NO Productivos'!E71:F72,2,FALSE))</f>
        <v>0</v>
      </c>
      <c r="I85" s="210">
        <f>H85</f>
        <v>0</v>
      </c>
      <c r="K85" s="104"/>
      <c r="L85" s="108"/>
      <c r="N85" s="104"/>
      <c r="O85" s="108"/>
    </row>
    <row r="86" spans="2:15" ht="5.25" customHeight="1" x14ac:dyDescent="0.3">
      <c r="B86" s="109"/>
      <c r="C86" s="116"/>
      <c r="D86" s="116"/>
      <c r="E86" s="116"/>
      <c r="F86" s="116"/>
      <c r="G86" s="116"/>
      <c r="H86" s="116"/>
      <c r="I86" s="107"/>
      <c r="L86" s="100"/>
      <c r="O86" s="100"/>
    </row>
    <row r="87" spans="2:15" s="129" customFormat="1" ht="25.5" customHeight="1" x14ac:dyDescent="0.3">
      <c r="B87" s="119"/>
      <c r="C87" s="212" t="s">
        <v>298</v>
      </c>
      <c r="D87" s="213"/>
      <c r="E87" s="214"/>
      <c r="F87" s="215" t="s">
        <v>142</v>
      </c>
      <c r="G87" s="216">
        <f>I83+I85</f>
        <v>0</v>
      </c>
      <c r="H87" s="125"/>
      <c r="I87" s="191">
        <f>I83+I85</f>
        <v>0</v>
      </c>
      <c r="J87" s="184"/>
      <c r="K87" s="143" t="e">
        <f>#REF!+#REF!+K83</f>
        <v>#REF!</v>
      </c>
      <c r="L87" s="128"/>
      <c r="M87" s="92"/>
      <c r="N87" s="144" t="e">
        <f>#REF!+#REF!+N83</f>
        <v>#REF!</v>
      </c>
      <c r="O87" s="128"/>
    </row>
    <row r="88" spans="2:15" ht="5.25" customHeight="1" x14ac:dyDescent="0.3">
      <c r="B88" s="192"/>
      <c r="C88" s="116"/>
      <c r="D88" s="116"/>
      <c r="E88" s="116"/>
      <c r="F88" s="116"/>
      <c r="G88" s="116"/>
      <c r="H88" s="116"/>
      <c r="I88" s="172"/>
      <c r="K88" s="104"/>
      <c r="L88" s="108"/>
      <c r="N88" s="104"/>
      <c r="O88" s="108"/>
    </row>
    <row r="89" spans="2:15" ht="46.8" x14ac:dyDescent="0.45">
      <c r="B89" s="101">
        <v>11</v>
      </c>
      <c r="C89" s="208" t="s">
        <v>72</v>
      </c>
      <c r="D89" s="104" t="s">
        <v>150</v>
      </c>
      <c r="E89" s="223" t="s">
        <v>251</v>
      </c>
      <c r="F89" s="1" t="s">
        <v>149</v>
      </c>
      <c r="G89" s="105" t="s">
        <v>20</v>
      </c>
      <c r="H89" s="141">
        <f>IF(F89="","",VLOOKUP(F89,'Referencias NO Productivos'!E73:F76,2,FALSE))</f>
        <v>0</v>
      </c>
      <c r="I89" s="221"/>
      <c r="K89" s="104"/>
      <c r="L89" s="108"/>
      <c r="N89" s="104"/>
      <c r="O89" s="108"/>
    </row>
    <row r="90" spans="2:15" ht="5.25" customHeight="1" x14ac:dyDescent="0.3">
      <c r="B90" s="109"/>
      <c r="C90" s="218"/>
      <c r="D90" s="104"/>
      <c r="E90" s="104"/>
      <c r="F90" s="104"/>
      <c r="G90" s="104"/>
      <c r="H90" s="179"/>
      <c r="I90" s="221"/>
      <c r="L90" s="100"/>
      <c r="O90" s="100"/>
    </row>
    <row r="91" spans="2:15" ht="25.5" customHeight="1" x14ac:dyDescent="0.3">
      <c r="B91" s="109"/>
      <c r="C91" s="218"/>
      <c r="D91" s="104" t="s">
        <v>258</v>
      </c>
      <c r="E91" s="104" t="s">
        <v>259</v>
      </c>
      <c r="F91" s="1" t="s">
        <v>257</v>
      </c>
      <c r="G91" s="105" t="s">
        <v>20</v>
      </c>
      <c r="H91" s="141">
        <f>IF(F91="","",VLOOKUP(F91,'Referencias NO Productivos'!E77:F79,2,FALSE))</f>
        <v>0</v>
      </c>
      <c r="I91" s="224"/>
      <c r="K91" s="104"/>
      <c r="L91" s="108"/>
      <c r="N91" s="104"/>
      <c r="O91" s="108"/>
    </row>
    <row r="92" spans="2:15" ht="5.25" customHeight="1" x14ac:dyDescent="0.3">
      <c r="B92" s="109"/>
      <c r="C92" s="218"/>
      <c r="D92" s="144"/>
      <c r="E92" s="144"/>
      <c r="F92" s="144"/>
      <c r="G92" s="225"/>
      <c r="H92" s="226"/>
      <c r="I92" s="221"/>
      <c r="J92" s="226"/>
      <c r="K92" s="221"/>
      <c r="L92" s="221"/>
      <c r="M92" s="221"/>
      <c r="N92" s="221"/>
      <c r="O92" s="100"/>
    </row>
    <row r="93" spans="2:15" s="129" customFormat="1" ht="25.5" customHeight="1" thickBot="1" x14ac:dyDescent="0.35">
      <c r="B93" s="119"/>
      <c r="C93" s="212" t="s">
        <v>311</v>
      </c>
      <c r="D93" s="227"/>
      <c r="E93" s="227"/>
      <c r="F93" s="228" t="s">
        <v>142</v>
      </c>
      <c r="G93" s="229">
        <f>IF(SUM(H89+H91)&lt;=10,SUM(H89+H91),10)</f>
        <v>0</v>
      </c>
      <c r="H93" s="230"/>
      <c r="I93" s="231">
        <f>H89+H91</f>
        <v>0</v>
      </c>
      <c r="J93" s="184"/>
      <c r="K93" s="143" t="e">
        <f>K85+K87+K91</f>
        <v>#REF!</v>
      </c>
      <c r="L93" s="128"/>
      <c r="M93" s="92"/>
      <c r="N93" s="144" t="e">
        <f>N85+N87+N91</f>
        <v>#REF!</v>
      </c>
      <c r="O93" s="128"/>
    </row>
    <row r="94" spans="2:15" ht="5.25" customHeight="1" thickBot="1" x14ac:dyDescent="0.35">
      <c r="B94" s="195"/>
      <c r="C94" s="232"/>
      <c r="D94" s="154"/>
      <c r="E94" s="154"/>
      <c r="F94" s="233"/>
      <c r="G94" s="233"/>
      <c r="H94" s="233"/>
      <c r="I94" s="234"/>
      <c r="K94" s="104"/>
      <c r="L94" s="108"/>
      <c r="N94" s="104"/>
      <c r="O94" s="108"/>
    </row>
    <row r="95" spans="2:15" ht="24" customHeight="1" thickBot="1" x14ac:dyDescent="0.35">
      <c r="B95" s="235"/>
      <c r="C95" s="235"/>
      <c r="D95" s="235"/>
      <c r="E95" s="235"/>
      <c r="F95" s="235"/>
      <c r="G95" s="235"/>
      <c r="H95" s="235"/>
      <c r="I95" s="235"/>
      <c r="J95" s="125"/>
      <c r="K95" s="236" t="e">
        <f>IF(SUM(#REF!+#REF!)&lt;=20,SUM(#REF!+#REF!),20)</f>
        <v>#REF!</v>
      </c>
      <c r="L95" s="108"/>
      <c r="M95" s="81"/>
      <c r="N95" s="104" t="e">
        <f>IF(SUM(#REF!+#REF!)&lt;=20,SUM(#REF!+#REF!),20)</f>
        <v>#REF!</v>
      </c>
      <c r="O95" s="108"/>
    </row>
    <row r="96" spans="2:15" s="162" customFormat="1" ht="34.5" customHeight="1" thickBot="1" x14ac:dyDescent="0.35">
      <c r="B96" s="237" t="s">
        <v>101</v>
      </c>
      <c r="C96" s="238"/>
      <c r="D96" s="238"/>
      <c r="E96" s="238"/>
      <c r="F96" s="238"/>
      <c r="G96" s="238"/>
      <c r="H96" s="239"/>
      <c r="I96" s="240">
        <f>(IF(SUM(I81+I87+I93)&lt;=30,SUM(+I81+I87+I93),30))</f>
        <v>0</v>
      </c>
      <c r="J96" s="159"/>
      <c r="K96" s="160" t="e">
        <f>#REF!+K83+#REF!</f>
        <v>#REF!</v>
      </c>
      <c r="L96" s="161"/>
      <c r="N96" s="161" t="e">
        <f>#REF!+N83+#REF!</f>
        <v>#REF!</v>
      </c>
      <c r="O96" s="161"/>
    </row>
    <row r="97" spans="2:15" ht="24" customHeight="1" thickBot="1" x14ac:dyDescent="0.35">
      <c r="B97" s="201"/>
      <c r="C97" s="201"/>
      <c r="D97" s="201"/>
      <c r="E97" s="201"/>
      <c r="F97" s="201"/>
      <c r="G97" s="201"/>
      <c r="H97" s="201"/>
      <c r="I97" s="201"/>
      <c r="J97" s="125"/>
      <c r="K97" s="236"/>
      <c r="L97" s="108"/>
      <c r="M97" s="81"/>
      <c r="N97" s="104"/>
      <c r="O97" s="108"/>
    </row>
    <row r="98" spans="2:15" s="93" customFormat="1" ht="34.5" customHeight="1" thickBot="1" x14ac:dyDescent="0.35">
      <c r="B98" s="241" t="s">
        <v>300</v>
      </c>
      <c r="C98" s="242"/>
      <c r="D98" s="242"/>
      <c r="E98" s="242"/>
      <c r="F98" s="242"/>
      <c r="G98" s="242"/>
      <c r="H98" s="242"/>
      <c r="I98" s="243"/>
    </row>
    <row r="99" spans="2:15" ht="5.25" customHeight="1" x14ac:dyDescent="0.3">
      <c r="B99" s="244"/>
      <c r="C99" s="92"/>
      <c r="D99" s="245"/>
      <c r="E99" s="245"/>
      <c r="F99" s="245"/>
      <c r="G99" s="245"/>
      <c r="H99" s="245"/>
      <c r="I99" s="246"/>
      <c r="L99" s="100"/>
      <c r="O99" s="100"/>
    </row>
    <row r="100" spans="2:15" ht="23.25" customHeight="1" x14ac:dyDescent="0.3">
      <c r="B100" s="101">
        <v>12</v>
      </c>
      <c r="C100" s="146"/>
      <c r="D100" s="208" t="s">
        <v>74</v>
      </c>
      <c r="E100" s="247" t="s">
        <v>342</v>
      </c>
      <c r="F100" s="73" t="s">
        <v>301</v>
      </c>
      <c r="G100" s="105" t="s">
        <v>14</v>
      </c>
      <c r="H100" s="248">
        <f>IF(F100="","",VLOOKUP(F100,'Referencias NO Productivos'!E89:F92,2,FALSE))</f>
        <v>0</v>
      </c>
      <c r="I100" s="107"/>
      <c r="K100" s="104"/>
      <c r="L100" s="108"/>
      <c r="N100" s="104"/>
      <c r="O100" s="108"/>
    </row>
    <row r="101" spans="2:15" ht="5.25" customHeight="1" x14ac:dyDescent="0.3">
      <c r="B101" s="109"/>
      <c r="C101" s="103"/>
      <c r="D101" s="211"/>
      <c r="E101" s="249"/>
      <c r="F101" s="188"/>
      <c r="G101" s="250"/>
      <c r="H101" s="251"/>
      <c r="I101" s="107"/>
      <c r="L101" s="100"/>
      <c r="O101" s="100"/>
    </row>
    <row r="102" spans="2:15" ht="254.25" customHeight="1" x14ac:dyDescent="0.3">
      <c r="B102" s="109"/>
      <c r="C102" s="319" t="s">
        <v>73</v>
      </c>
      <c r="D102" s="338" t="s">
        <v>75</v>
      </c>
      <c r="E102" s="342" t="s">
        <v>343</v>
      </c>
      <c r="F102" s="321" t="s">
        <v>103</v>
      </c>
      <c r="G102" s="322" t="s">
        <v>16</v>
      </c>
      <c r="H102" s="323">
        <f>IF(F102="","",VLOOKUP(F102,'Referencias NO Productivos'!E93:F94,2,FALSE))</f>
        <v>0</v>
      </c>
      <c r="I102" s="107"/>
      <c r="L102" s="100"/>
      <c r="O102" s="100"/>
    </row>
    <row r="103" spans="2:15" ht="5.25" customHeight="1" x14ac:dyDescent="0.3">
      <c r="B103" s="109"/>
      <c r="C103" s="319"/>
      <c r="D103" s="319"/>
      <c r="E103" s="343"/>
      <c r="F103" s="321"/>
      <c r="G103" s="322"/>
      <c r="H103" s="323"/>
      <c r="I103" s="107"/>
      <c r="L103" s="100"/>
      <c r="O103" s="100"/>
    </row>
    <row r="104" spans="2:15" ht="83.25" customHeight="1" x14ac:dyDescent="0.3">
      <c r="B104" s="109"/>
      <c r="C104" s="319"/>
      <c r="D104" s="319"/>
      <c r="E104" s="344"/>
      <c r="F104" s="321"/>
      <c r="G104" s="322"/>
      <c r="H104" s="323"/>
      <c r="I104" s="107"/>
      <c r="L104" s="100"/>
      <c r="O104" s="100"/>
    </row>
    <row r="105" spans="2:15" ht="5.25" customHeight="1" x14ac:dyDescent="0.3">
      <c r="B105" s="109"/>
      <c r="C105" s="319"/>
      <c r="D105" s="319"/>
      <c r="E105" s="249"/>
      <c r="F105" s="188"/>
      <c r="G105" s="250"/>
      <c r="H105" s="251"/>
      <c r="I105" s="107"/>
      <c r="L105" s="100"/>
      <c r="O105" s="100"/>
    </row>
    <row r="106" spans="2:15" ht="153" customHeight="1" x14ac:dyDescent="0.3">
      <c r="B106" s="109"/>
      <c r="C106" s="320"/>
      <c r="D106" s="320"/>
      <c r="E106" s="176" t="s">
        <v>344</v>
      </c>
      <c r="F106" s="1" t="s">
        <v>103</v>
      </c>
      <c r="G106" s="105" t="s">
        <v>16</v>
      </c>
      <c r="H106" s="248">
        <f>IF(F106="","",VLOOKUP(F106,'Referencias NO Productivos'!E95:F96,2,FALSE))</f>
        <v>0</v>
      </c>
      <c r="I106" s="107"/>
      <c r="L106" s="100"/>
      <c r="O106" s="100"/>
    </row>
    <row r="107" spans="2:15" ht="5.25" customHeight="1" x14ac:dyDescent="0.3">
      <c r="B107" s="109"/>
      <c r="C107" s="81"/>
      <c r="D107" s="81"/>
      <c r="E107" s="81"/>
      <c r="F107" s="81"/>
      <c r="G107" s="81"/>
      <c r="H107" s="81"/>
      <c r="I107" s="112"/>
      <c r="L107" s="100"/>
      <c r="O107" s="100"/>
    </row>
    <row r="108" spans="2:15" s="129" customFormat="1" ht="25.5" customHeight="1" x14ac:dyDescent="0.3">
      <c r="B108" s="119"/>
      <c r="C108" s="252" t="s">
        <v>304</v>
      </c>
      <c r="D108" s="213"/>
      <c r="E108" s="214"/>
      <c r="F108" s="215" t="s">
        <v>142</v>
      </c>
      <c r="G108" s="253">
        <f>(IF(SUM(H102+H104+H106)&lt;=3,SUM(H102+H104+H106),3))+H100</f>
        <v>0</v>
      </c>
      <c r="H108" s="125"/>
      <c r="I108" s="254">
        <f>(IF(SUM(H102+H104+H106)&lt;=3,SUM(H102+H104+H106),3))+H100</f>
        <v>0</v>
      </c>
      <c r="J108" s="125"/>
      <c r="K108" s="143">
        <f>K106</f>
        <v>0</v>
      </c>
      <c r="L108" s="128"/>
      <c r="M108" s="92"/>
      <c r="N108" s="144">
        <f>N106</f>
        <v>0</v>
      </c>
      <c r="O108" s="128"/>
    </row>
    <row r="109" spans="2:15" ht="5.25" customHeight="1" x14ac:dyDescent="0.3">
      <c r="B109" s="255"/>
      <c r="C109" s="92"/>
      <c r="D109" s="256"/>
      <c r="E109" s="219"/>
      <c r="F109" s="219"/>
      <c r="G109" s="219"/>
      <c r="H109" s="219"/>
      <c r="I109" s="257"/>
      <c r="L109" s="100"/>
      <c r="O109" s="100"/>
    </row>
    <row r="110" spans="2:15" ht="46.5" customHeight="1" x14ac:dyDescent="0.3">
      <c r="B110" s="101">
        <v>13</v>
      </c>
      <c r="C110" s="258"/>
      <c r="D110" s="146"/>
      <c r="E110" s="259" t="s">
        <v>345</v>
      </c>
      <c r="F110" s="1" t="s">
        <v>103</v>
      </c>
      <c r="G110" s="105" t="s">
        <v>14</v>
      </c>
      <c r="H110" s="248">
        <f>IF(F110="","",VLOOKUP(F110,'Referencias NO Productivos'!E99:F100,2,FALSE))</f>
        <v>0</v>
      </c>
      <c r="I110" s="107"/>
      <c r="K110" s="104"/>
      <c r="L110" s="108"/>
      <c r="N110" s="104"/>
      <c r="O110" s="108"/>
    </row>
    <row r="111" spans="2:15" ht="5.25" customHeight="1" x14ac:dyDescent="0.45">
      <c r="B111" s="109"/>
      <c r="D111" s="103"/>
      <c r="E111" s="219"/>
      <c r="F111" s="219"/>
      <c r="G111" s="219"/>
      <c r="H111" s="219"/>
      <c r="I111" s="246"/>
      <c r="K111" s="260"/>
      <c r="L111" s="100"/>
      <c r="N111" s="260"/>
      <c r="O111" s="100"/>
    </row>
    <row r="112" spans="2:15" ht="46.8" x14ac:dyDescent="0.45">
      <c r="B112" s="109"/>
      <c r="C112" s="117" t="s">
        <v>318</v>
      </c>
      <c r="D112" s="103"/>
      <c r="E112" s="259" t="s">
        <v>347</v>
      </c>
      <c r="F112" s="1" t="s">
        <v>103</v>
      </c>
      <c r="G112" s="105" t="s">
        <v>14</v>
      </c>
      <c r="H112" s="248">
        <f>IF(F112="","",VLOOKUP(F112,'Referencias NO Productivos'!E101:F102,2,FALSE))</f>
        <v>0</v>
      </c>
      <c r="I112" s="246"/>
      <c r="K112" s="260"/>
      <c r="L112" s="100"/>
      <c r="N112" s="260"/>
      <c r="O112" s="100"/>
    </row>
    <row r="113" spans="2:15" ht="5.25" customHeight="1" x14ac:dyDescent="0.45">
      <c r="B113" s="109"/>
      <c r="C113" s="117"/>
      <c r="D113" s="103"/>
      <c r="E113" s="219"/>
      <c r="F113" s="219"/>
      <c r="G113" s="219"/>
      <c r="H113" s="219"/>
      <c r="I113" s="246"/>
      <c r="K113" s="260"/>
      <c r="L113" s="100"/>
      <c r="N113" s="260"/>
      <c r="O113" s="100"/>
    </row>
    <row r="114" spans="2:15" ht="46.8" x14ac:dyDescent="0.3">
      <c r="B114" s="109"/>
      <c r="C114" s="117" t="s">
        <v>319</v>
      </c>
      <c r="D114" s="261" t="s">
        <v>76</v>
      </c>
      <c r="E114" s="259" t="s">
        <v>346</v>
      </c>
      <c r="F114" s="1" t="s">
        <v>103</v>
      </c>
      <c r="G114" s="105" t="s">
        <v>14</v>
      </c>
      <c r="H114" s="248">
        <f>IF(F114="","",VLOOKUP(F114,'Referencias NO Productivos'!E103:F104,2,FALSE))</f>
        <v>0</v>
      </c>
      <c r="I114" s="107"/>
      <c r="K114" s="104"/>
      <c r="L114" s="108"/>
      <c r="N114" s="104"/>
      <c r="O114" s="108"/>
    </row>
    <row r="115" spans="2:15" ht="5.25" customHeight="1" x14ac:dyDescent="0.45">
      <c r="B115" s="109"/>
      <c r="C115" s="117"/>
      <c r="D115" s="103"/>
      <c r="E115" s="219"/>
      <c r="F115" s="219"/>
      <c r="G115" s="219"/>
      <c r="H115" s="219"/>
      <c r="I115" s="246"/>
      <c r="K115" s="260"/>
      <c r="L115" s="100"/>
      <c r="N115" s="260"/>
      <c r="O115" s="100"/>
    </row>
    <row r="116" spans="2:15" ht="46.8" x14ac:dyDescent="0.3">
      <c r="B116" s="109"/>
      <c r="C116" s="117" t="s">
        <v>320</v>
      </c>
      <c r="D116" s="114"/>
      <c r="E116" s="259" t="s">
        <v>348</v>
      </c>
      <c r="F116" s="1" t="s">
        <v>103</v>
      </c>
      <c r="G116" s="105" t="s">
        <v>17</v>
      </c>
      <c r="H116" s="248">
        <f>IF(F116="","",VLOOKUP(F116,'Referencias NO Productivos'!E105:F106,2,FALSE))</f>
        <v>0</v>
      </c>
      <c r="I116" s="107"/>
      <c r="K116" s="104"/>
      <c r="L116" s="108"/>
      <c r="N116" s="104"/>
      <c r="O116" s="108"/>
    </row>
    <row r="117" spans="2:15" ht="5.25" customHeight="1" x14ac:dyDescent="0.3">
      <c r="B117" s="109"/>
      <c r="C117" s="218"/>
      <c r="D117" s="222"/>
      <c r="E117" s="81"/>
      <c r="F117" s="81"/>
      <c r="G117" s="81"/>
      <c r="H117" s="81"/>
      <c r="I117" s="112"/>
      <c r="L117" s="100"/>
      <c r="O117" s="100"/>
    </row>
    <row r="118" spans="2:15" s="129" customFormat="1" ht="25.5" customHeight="1" x14ac:dyDescent="0.3">
      <c r="B118" s="109"/>
      <c r="C118" s="218" t="s">
        <v>321</v>
      </c>
      <c r="D118" s="262" t="s">
        <v>305</v>
      </c>
      <c r="E118" s="263"/>
      <c r="F118" s="264" t="s">
        <v>15</v>
      </c>
      <c r="G118" s="264">
        <f>(IF(SUM(H110+H112+H114+H116)&lt;=7,SUM(H110+H112+H114+H116),7))</f>
        <v>0</v>
      </c>
      <c r="H118" s="92"/>
      <c r="I118" s="254">
        <f>(IF(SUM(H110+H112+H114+H116)&lt;=7,SUM(H110+H112+H114+H116),7))</f>
        <v>0</v>
      </c>
      <c r="J118" s="125"/>
      <c r="K118" s="143">
        <f>K116</f>
        <v>0</v>
      </c>
      <c r="L118" s="128"/>
      <c r="M118" s="92"/>
      <c r="N118" s="144">
        <f>N116</f>
        <v>0</v>
      </c>
      <c r="O118" s="128"/>
    </row>
    <row r="119" spans="2:15" ht="5.25" customHeight="1" x14ac:dyDescent="0.45">
      <c r="B119" s="109"/>
      <c r="C119" s="218"/>
      <c r="D119" s="219"/>
      <c r="E119" s="219"/>
      <c r="F119" s="219"/>
      <c r="G119" s="219"/>
      <c r="H119" s="219"/>
      <c r="I119" s="257"/>
      <c r="K119" s="260"/>
      <c r="L119" s="100"/>
      <c r="N119" s="260"/>
      <c r="O119" s="100"/>
    </row>
    <row r="120" spans="2:15" ht="46.8" x14ac:dyDescent="0.3">
      <c r="B120" s="109"/>
      <c r="C120" s="218"/>
      <c r="D120" s="177" t="s">
        <v>125</v>
      </c>
      <c r="E120" s="265" t="s">
        <v>338</v>
      </c>
      <c r="F120" s="1" t="s">
        <v>103</v>
      </c>
      <c r="G120" s="105" t="s">
        <v>16</v>
      </c>
      <c r="H120" s="248">
        <f>IF(F120="","",VLOOKUP(F120,'Referencias NO Productivos'!E107:F108,2,FALSE))</f>
        <v>0</v>
      </c>
      <c r="I120" s="107"/>
      <c r="K120" s="104"/>
      <c r="L120" s="108"/>
      <c r="N120" s="104"/>
      <c r="O120" s="108"/>
    </row>
    <row r="121" spans="2:15" ht="5.25" customHeight="1" x14ac:dyDescent="0.3">
      <c r="B121" s="109"/>
      <c r="C121" s="218"/>
      <c r="D121" s="177"/>
      <c r="E121" s="81"/>
      <c r="F121" s="81"/>
      <c r="G121" s="81"/>
      <c r="H121" s="81"/>
      <c r="I121" s="112"/>
      <c r="L121" s="100"/>
      <c r="O121" s="100"/>
    </row>
    <row r="122" spans="2:15" s="129" customFormat="1" ht="25.5" customHeight="1" x14ac:dyDescent="0.3">
      <c r="B122" s="109"/>
      <c r="C122" s="222"/>
      <c r="D122" s="262" t="s">
        <v>46</v>
      </c>
      <c r="E122" s="263"/>
      <c r="F122" s="264" t="s">
        <v>15</v>
      </c>
      <c r="G122" s="264">
        <f>H120</f>
        <v>0</v>
      </c>
      <c r="H122" s="92"/>
      <c r="I122" s="254">
        <f>H120</f>
        <v>0</v>
      </c>
      <c r="J122" s="125"/>
      <c r="K122" s="143">
        <f>K120</f>
        <v>0</v>
      </c>
      <c r="L122" s="128"/>
      <c r="M122" s="92"/>
      <c r="N122" s="144">
        <f>N120</f>
        <v>0</v>
      </c>
      <c r="O122" s="128"/>
    </row>
    <row r="123" spans="2:15" ht="5.25" customHeight="1" x14ac:dyDescent="0.3">
      <c r="B123" s="109"/>
      <c r="C123" s="81"/>
      <c r="D123" s="81"/>
      <c r="E123" s="81"/>
      <c r="F123" s="81"/>
      <c r="G123" s="81"/>
      <c r="H123" s="81"/>
      <c r="I123" s="112"/>
      <c r="L123" s="100"/>
      <c r="O123" s="100"/>
    </row>
    <row r="124" spans="2:15" s="129" customFormat="1" ht="25.5" customHeight="1" x14ac:dyDescent="0.3">
      <c r="B124" s="119"/>
      <c r="C124" s="212" t="s">
        <v>306</v>
      </c>
      <c r="D124" s="213"/>
      <c r="E124" s="214"/>
      <c r="F124" s="215" t="s">
        <v>142</v>
      </c>
      <c r="G124" s="253">
        <f>G118+G122</f>
        <v>0</v>
      </c>
      <c r="H124" s="125"/>
      <c r="I124" s="254">
        <f>(IF(SUM(I118+I122)&lt;=10,SUM(I118+I122),10))</f>
        <v>0</v>
      </c>
      <c r="J124" s="125"/>
      <c r="K124" s="143">
        <f>K122</f>
        <v>0</v>
      </c>
      <c r="L124" s="128"/>
      <c r="M124" s="92"/>
      <c r="N124" s="144">
        <f>N122</f>
        <v>0</v>
      </c>
      <c r="O124" s="128"/>
    </row>
    <row r="125" spans="2:15" ht="5.25" customHeight="1" x14ac:dyDescent="0.45">
      <c r="B125" s="266"/>
      <c r="C125" s="256"/>
      <c r="D125" s="256"/>
      <c r="E125" s="219"/>
      <c r="F125" s="219"/>
      <c r="G125" s="219"/>
      <c r="H125" s="219"/>
      <c r="I125" s="267"/>
      <c r="K125" s="260"/>
      <c r="L125" s="100"/>
      <c r="N125" s="260"/>
      <c r="O125" s="100"/>
    </row>
    <row r="126" spans="2:15" ht="46.8" x14ac:dyDescent="0.3">
      <c r="B126" s="145">
        <v>14</v>
      </c>
      <c r="C126" s="146"/>
      <c r="D126" s="338" t="s">
        <v>87</v>
      </c>
      <c r="E126" s="188" t="s">
        <v>350</v>
      </c>
      <c r="F126" s="1" t="s">
        <v>103</v>
      </c>
      <c r="G126" s="146" t="s">
        <v>13</v>
      </c>
      <c r="H126" s="248">
        <f>IF(F126="","",VLOOKUP(F126,'Referencias NO Productivos'!E109:F110,2,FALSE))</f>
        <v>0</v>
      </c>
      <c r="I126" s="107"/>
      <c r="K126" s="104"/>
      <c r="L126" s="108"/>
      <c r="N126" s="104"/>
      <c r="O126" s="108"/>
    </row>
    <row r="127" spans="2:15" ht="5.25" customHeight="1" x14ac:dyDescent="0.3">
      <c r="B127" s="134"/>
      <c r="C127" s="103"/>
      <c r="D127" s="319"/>
      <c r="E127" s="268"/>
      <c r="F127" s="188"/>
      <c r="G127" s="211"/>
      <c r="H127" s="250"/>
      <c r="I127" s="107"/>
      <c r="L127" s="100"/>
      <c r="O127" s="100"/>
    </row>
    <row r="128" spans="2:15" ht="46.8" x14ac:dyDescent="0.3">
      <c r="B128" s="134"/>
      <c r="C128" s="103"/>
      <c r="D128" s="319"/>
      <c r="E128" s="188" t="s">
        <v>351</v>
      </c>
      <c r="F128" s="1" t="s">
        <v>103</v>
      </c>
      <c r="G128" s="146" t="s">
        <v>13</v>
      </c>
      <c r="H128" s="248">
        <f>IF(F128="","",VLOOKUP(F128,'Referencias NO Productivos'!E111:F112,2,FALSE))</f>
        <v>0</v>
      </c>
      <c r="I128" s="107"/>
      <c r="L128" s="100"/>
      <c r="O128" s="100"/>
    </row>
    <row r="129" spans="2:15" ht="5.25" customHeight="1" x14ac:dyDescent="0.3">
      <c r="B129" s="134"/>
      <c r="C129" s="103"/>
      <c r="D129" s="319"/>
      <c r="E129" s="268"/>
      <c r="F129" s="188"/>
      <c r="G129" s="211"/>
      <c r="H129" s="250"/>
      <c r="I129" s="107"/>
      <c r="L129" s="100"/>
      <c r="O129" s="100"/>
    </row>
    <row r="130" spans="2:15" ht="46.8" x14ac:dyDescent="0.3">
      <c r="B130" s="134"/>
      <c r="C130" s="103" t="s">
        <v>86</v>
      </c>
      <c r="D130" s="319"/>
      <c r="E130" s="188" t="s">
        <v>352</v>
      </c>
      <c r="F130" s="1" t="s">
        <v>103</v>
      </c>
      <c r="G130" s="146" t="s">
        <v>13</v>
      </c>
      <c r="H130" s="248">
        <f>IF(F130="","",VLOOKUP(F130,'Referencias NO Productivos'!E113:F114,2,FALSE))</f>
        <v>0</v>
      </c>
      <c r="I130" s="107"/>
      <c r="L130" s="100"/>
      <c r="O130" s="100"/>
    </row>
    <row r="131" spans="2:15" ht="5.25" customHeight="1" x14ac:dyDescent="0.3">
      <c r="B131" s="134"/>
      <c r="C131" s="103"/>
      <c r="D131" s="319"/>
      <c r="E131" s="268"/>
      <c r="F131" s="188"/>
      <c r="G131" s="211"/>
      <c r="H131" s="250"/>
      <c r="I131" s="107"/>
      <c r="L131" s="100"/>
      <c r="O131" s="100"/>
    </row>
    <row r="132" spans="2:15" ht="46.8" x14ac:dyDescent="0.3">
      <c r="B132" s="134"/>
      <c r="C132" s="103"/>
      <c r="D132" s="319"/>
      <c r="E132" s="188" t="s">
        <v>353</v>
      </c>
      <c r="F132" s="1" t="s">
        <v>103</v>
      </c>
      <c r="G132" s="146" t="s">
        <v>13</v>
      </c>
      <c r="H132" s="248">
        <f>IF(F132="","",VLOOKUP(F132,'Referencias NO Productivos'!E115:F116,2,FALSE))</f>
        <v>0</v>
      </c>
      <c r="I132" s="107"/>
      <c r="L132" s="100"/>
      <c r="O132" s="100"/>
    </row>
    <row r="133" spans="2:15" ht="5.25" customHeight="1" x14ac:dyDescent="0.45">
      <c r="B133" s="134"/>
      <c r="C133" s="103"/>
      <c r="D133" s="319"/>
      <c r="E133" s="269"/>
      <c r="F133" s="219"/>
      <c r="G133" s="219"/>
      <c r="H133" s="219"/>
      <c r="I133" s="246"/>
      <c r="K133" s="260"/>
      <c r="L133" s="100"/>
      <c r="N133" s="260"/>
      <c r="O133" s="100"/>
    </row>
    <row r="134" spans="2:15" ht="46.8" x14ac:dyDescent="0.3">
      <c r="B134" s="134"/>
      <c r="C134" s="103"/>
      <c r="D134" s="320"/>
      <c r="E134" s="176" t="s">
        <v>133</v>
      </c>
      <c r="F134" s="73" t="s">
        <v>103</v>
      </c>
      <c r="G134" s="105" t="s">
        <v>17</v>
      </c>
      <c r="H134" s="248">
        <f>IF(F134="","",VLOOKUP(F134,'Referencias NO Productivos'!E117:F118,2,FALSE))</f>
        <v>0</v>
      </c>
      <c r="I134" s="107"/>
      <c r="K134" s="104"/>
      <c r="L134" s="108"/>
      <c r="N134" s="104"/>
      <c r="O134" s="108"/>
    </row>
    <row r="135" spans="2:15" ht="5.25" customHeight="1" x14ac:dyDescent="0.45">
      <c r="B135" s="134"/>
      <c r="C135" s="103"/>
      <c r="D135" s="222"/>
      <c r="E135" s="219"/>
      <c r="F135" s="219"/>
      <c r="G135" s="219"/>
      <c r="H135" s="256"/>
      <c r="I135" s="270"/>
      <c r="K135" s="260"/>
      <c r="L135" s="100"/>
      <c r="N135" s="260"/>
      <c r="O135" s="100"/>
    </row>
    <row r="136" spans="2:15" s="129" customFormat="1" ht="25.5" customHeight="1" x14ac:dyDescent="0.3">
      <c r="B136" s="190"/>
      <c r="C136" s="114"/>
      <c r="D136" s="262" t="s">
        <v>307</v>
      </c>
      <c r="E136" s="262"/>
      <c r="F136" s="271" t="s">
        <v>15</v>
      </c>
      <c r="G136" s="264">
        <f>(IF(SUM(H126+H128+H130+H132+H134)&lt;=4,SUM(H126+H128+H130+H132+H134),4))</f>
        <v>0</v>
      </c>
      <c r="H136" s="92"/>
      <c r="I136" s="254">
        <f>(IF(SUM(H126+H128+H130+H132+H134)&lt;=4,SUM(H126+H128+H130+H132+H134),4))</f>
        <v>0</v>
      </c>
      <c r="J136" s="125"/>
      <c r="K136" s="143">
        <f>K134</f>
        <v>0</v>
      </c>
      <c r="L136" s="128"/>
      <c r="M136" s="92"/>
      <c r="N136" s="144">
        <f>N134</f>
        <v>0</v>
      </c>
      <c r="O136" s="128"/>
    </row>
    <row r="137" spans="2:15" ht="5.25" customHeight="1" x14ac:dyDescent="0.45">
      <c r="B137" s="109"/>
      <c r="C137" s="218"/>
      <c r="D137" s="256"/>
      <c r="E137" s="219"/>
      <c r="F137" s="219"/>
      <c r="G137" s="219"/>
      <c r="H137" s="245"/>
      <c r="I137" s="267"/>
      <c r="K137" s="260"/>
      <c r="L137" s="100"/>
      <c r="N137" s="260"/>
      <c r="O137" s="100"/>
    </row>
    <row r="138" spans="2:15" ht="23.25" customHeight="1" x14ac:dyDescent="0.3">
      <c r="B138" s="101"/>
      <c r="C138" s="208"/>
      <c r="D138" s="208"/>
      <c r="E138" s="140" t="s">
        <v>89</v>
      </c>
      <c r="F138" s="1" t="s">
        <v>103</v>
      </c>
      <c r="G138" s="146" t="s">
        <v>13</v>
      </c>
      <c r="H138" s="248">
        <f>IF(F138="","",VLOOKUP(F138,'Referencias NO Productivos'!E119:F120,2,FALSE))</f>
        <v>0</v>
      </c>
      <c r="I138" s="272"/>
      <c r="K138" s="104"/>
      <c r="L138" s="108"/>
      <c r="N138" s="104"/>
      <c r="O138" s="108"/>
    </row>
    <row r="139" spans="2:15" ht="5.25" customHeight="1" x14ac:dyDescent="0.3">
      <c r="B139" s="109"/>
      <c r="C139" s="218"/>
      <c r="D139" s="218"/>
      <c r="E139" s="188"/>
      <c r="F139" s="188"/>
      <c r="G139" s="211"/>
      <c r="H139" s="250"/>
      <c r="I139" s="107"/>
      <c r="L139" s="100"/>
      <c r="O139" s="100"/>
    </row>
    <row r="140" spans="2:15" x14ac:dyDescent="0.3">
      <c r="B140" s="109"/>
      <c r="C140" s="218"/>
      <c r="D140" s="218" t="s">
        <v>322</v>
      </c>
      <c r="E140" s="140" t="s">
        <v>90</v>
      </c>
      <c r="F140" s="1" t="s">
        <v>103</v>
      </c>
      <c r="G140" s="146" t="s">
        <v>13</v>
      </c>
      <c r="H140" s="248">
        <f>IF(F140="","",VLOOKUP(F140,'Referencias NO Productivos'!E121:F122,2,FALSE))</f>
        <v>0</v>
      </c>
      <c r="I140" s="272"/>
      <c r="L140" s="100"/>
      <c r="O140" s="100"/>
    </row>
    <row r="141" spans="2:15" ht="5.25" customHeight="1" x14ac:dyDescent="0.3">
      <c r="B141" s="109"/>
      <c r="C141" s="218"/>
      <c r="D141" s="218"/>
      <c r="E141" s="188"/>
      <c r="F141" s="188"/>
      <c r="G141" s="211"/>
      <c r="H141" s="250"/>
      <c r="I141" s="107"/>
      <c r="L141" s="100"/>
      <c r="O141" s="100"/>
    </row>
    <row r="142" spans="2:15" x14ac:dyDescent="0.3">
      <c r="B142" s="109"/>
      <c r="C142" s="218"/>
      <c r="D142" s="218" t="s">
        <v>323</v>
      </c>
      <c r="E142" s="140" t="s">
        <v>91</v>
      </c>
      <c r="F142" s="1" t="s">
        <v>103</v>
      </c>
      <c r="G142" s="146" t="s">
        <v>13</v>
      </c>
      <c r="H142" s="248">
        <f>IF(F142="","",VLOOKUP(F142,'Referencias NO Productivos'!E123:F124,2,FALSE))</f>
        <v>0</v>
      </c>
      <c r="I142" s="272"/>
      <c r="L142" s="100"/>
      <c r="O142" s="100"/>
    </row>
    <row r="143" spans="2:15" ht="5.25" customHeight="1" x14ac:dyDescent="0.3">
      <c r="B143" s="109"/>
      <c r="C143" s="218"/>
      <c r="D143" s="218"/>
      <c r="E143" s="188"/>
      <c r="F143" s="188"/>
      <c r="G143" s="211"/>
      <c r="H143" s="250"/>
      <c r="I143" s="107"/>
      <c r="L143" s="100"/>
      <c r="O143" s="100"/>
    </row>
    <row r="144" spans="2:15" x14ac:dyDescent="0.3">
      <c r="B144" s="109"/>
      <c r="C144" s="218"/>
      <c r="D144" s="218" t="s">
        <v>324</v>
      </c>
      <c r="E144" s="140" t="s">
        <v>92</v>
      </c>
      <c r="F144" s="1" t="s">
        <v>103</v>
      </c>
      <c r="G144" s="146" t="s">
        <v>13</v>
      </c>
      <c r="H144" s="248">
        <f>IF(F144="","",VLOOKUP(F144,'Referencias NO Productivos'!E125:F126,2,FALSE))</f>
        <v>0</v>
      </c>
      <c r="I144" s="272"/>
      <c r="L144" s="100"/>
      <c r="O144" s="100"/>
    </row>
    <row r="145" spans="2:15" ht="5.25" customHeight="1" x14ac:dyDescent="0.3">
      <c r="B145" s="109"/>
      <c r="C145" s="218"/>
      <c r="D145" s="218"/>
      <c r="E145" s="188"/>
      <c r="F145" s="188"/>
      <c r="G145" s="211"/>
      <c r="H145" s="250"/>
      <c r="I145" s="107"/>
      <c r="L145" s="100"/>
      <c r="O145" s="100"/>
    </row>
    <row r="146" spans="2:15" x14ac:dyDescent="0.3">
      <c r="B146" s="109"/>
      <c r="C146" s="218"/>
      <c r="D146" s="218" t="s">
        <v>325</v>
      </c>
      <c r="E146" s="140" t="s">
        <v>93</v>
      </c>
      <c r="F146" s="1" t="s">
        <v>103</v>
      </c>
      <c r="G146" s="146" t="s">
        <v>13</v>
      </c>
      <c r="H146" s="248">
        <f>IF(F146="","",VLOOKUP(F146,'Referencias NO Productivos'!E127:F128,2,FALSE))</f>
        <v>0</v>
      </c>
      <c r="I146" s="272"/>
      <c r="L146" s="100"/>
      <c r="O146" s="100"/>
    </row>
    <row r="147" spans="2:15" ht="5.25" customHeight="1" x14ac:dyDescent="0.3">
      <c r="B147" s="109"/>
      <c r="C147" s="218"/>
      <c r="D147" s="218"/>
      <c r="E147" s="188"/>
      <c r="F147" s="188"/>
      <c r="G147" s="211"/>
      <c r="H147" s="250"/>
      <c r="I147" s="107"/>
      <c r="L147" s="100"/>
      <c r="O147" s="100"/>
    </row>
    <row r="148" spans="2:15" x14ac:dyDescent="0.3">
      <c r="B148" s="109"/>
      <c r="C148" s="218"/>
      <c r="D148" s="218" t="s">
        <v>326</v>
      </c>
      <c r="E148" s="140" t="s">
        <v>94</v>
      </c>
      <c r="F148" s="1" t="s">
        <v>103</v>
      </c>
      <c r="G148" s="146" t="s">
        <v>13</v>
      </c>
      <c r="H148" s="248">
        <f>IF(F148="","",VLOOKUP(F148,'Referencias NO Productivos'!E129:F130,2,FALSE))</f>
        <v>0</v>
      </c>
      <c r="I148" s="272"/>
      <c r="L148" s="100"/>
      <c r="O148" s="100"/>
    </row>
    <row r="149" spans="2:15" ht="5.25" customHeight="1" x14ac:dyDescent="0.3">
      <c r="B149" s="109"/>
      <c r="C149" s="218"/>
      <c r="D149" s="218"/>
      <c r="E149" s="188"/>
      <c r="F149" s="188"/>
      <c r="G149" s="211"/>
      <c r="H149" s="250"/>
      <c r="I149" s="107"/>
      <c r="L149" s="100"/>
      <c r="O149" s="100"/>
    </row>
    <row r="150" spans="2:15" x14ac:dyDescent="0.3">
      <c r="B150" s="109"/>
      <c r="C150" s="218"/>
      <c r="D150" s="218" t="s">
        <v>327</v>
      </c>
      <c r="E150" s="140" t="s">
        <v>95</v>
      </c>
      <c r="F150" s="1" t="s">
        <v>103</v>
      </c>
      <c r="G150" s="146" t="s">
        <v>13</v>
      </c>
      <c r="H150" s="248">
        <f>IF(F150="","",VLOOKUP(F150,'Referencias NO Productivos'!E131:F132,2,FALSE))</f>
        <v>0</v>
      </c>
      <c r="I150" s="272"/>
      <c r="L150" s="100"/>
      <c r="O150" s="100"/>
    </row>
    <row r="151" spans="2:15" ht="5.25" customHeight="1" x14ac:dyDescent="0.3">
      <c r="B151" s="109"/>
      <c r="C151" s="218"/>
      <c r="D151" s="218"/>
      <c r="E151" s="188"/>
      <c r="F151" s="188"/>
      <c r="G151" s="211"/>
      <c r="H151" s="250"/>
      <c r="I151" s="107"/>
      <c r="L151" s="100"/>
      <c r="O151" s="100"/>
    </row>
    <row r="152" spans="2:15" x14ac:dyDescent="0.3">
      <c r="B152" s="109"/>
      <c r="C152" s="218"/>
      <c r="D152" s="218" t="s">
        <v>328</v>
      </c>
      <c r="E152" s="140" t="s">
        <v>96</v>
      </c>
      <c r="F152" s="1" t="s">
        <v>103</v>
      </c>
      <c r="G152" s="146" t="s">
        <v>13</v>
      </c>
      <c r="H152" s="248">
        <f>IF(F152="","",VLOOKUP(F152,'Referencias NO Productivos'!E133:F134,2,FALSE))</f>
        <v>0</v>
      </c>
      <c r="I152" s="272"/>
      <c r="L152" s="100"/>
      <c r="O152" s="100"/>
    </row>
    <row r="153" spans="2:15" ht="5.25" customHeight="1" x14ac:dyDescent="0.45">
      <c r="B153" s="109"/>
      <c r="C153" s="218"/>
      <c r="D153" s="218"/>
      <c r="E153" s="219"/>
      <c r="F153" s="219"/>
      <c r="G153" s="219"/>
      <c r="H153" s="219"/>
      <c r="I153" s="267"/>
      <c r="K153" s="260"/>
      <c r="L153" s="100"/>
      <c r="N153" s="260"/>
      <c r="O153" s="100"/>
    </row>
    <row r="154" spans="2:15" x14ac:dyDescent="0.3">
      <c r="B154" s="109"/>
      <c r="C154" s="218"/>
      <c r="D154" s="218"/>
      <c r="E154" s="140" t="s">
        <v>134</v>
      </c>
      <c r="F154" s="1" t="s">
        <v>103</v>
      </c>
      <c r="G154" s="105" t="s">
        <v>17</v>
      </c>
      <c r="H154" s="248">
        <f>IF(F154="","",VLOOKUP(F154,'Referencias NO Productivos'!E135:F136,2,FALSE))</f>
        <v>0</v>
      </c>
      <c r="I154" s="272"/>
      <c r="K154" s="104"/>
      <c r="L154" s="108"/>
      <c r="N154" s="104"/>
      <c r="O154" s="108"/>
    </row>
    <row r="155" spans="2:15" ht="5.25" customHeight="1" x14ac:dyDescent="0.45">
      <c r="B155" s="109"/>
      <c r="C155" s="218"/>
      <c r="D155" s="218"/>
      <c r="E155" s="219"/>
      <c r="F155" s="219"/>
      <c r="G155" s="219"/>
      <c r="H155" s="256"/>
      <c r="I155" s="267"/>
      <c r="K155" s="260"/>
      <c r="L155" s="100"/>
      <c r="N155" s="260"/>
      <c r="O155" s="100"/>
    </row>
    <row r="156" spans="2:15" s="129" customFormat="1" ht="25.5" customHeight="1" x14ac:dyDescent="0.3">
      <c r="B156" s="119"/>
      <c r="C156" s="222"/>
      <c r="D156" s="222"/>
      <c r="E156" s="263" t="s">
        <v>307</v>
      </c>
      <c r="F156" s="273" t="s">
        <v>15</v>
      </c>
      <c r="G156" s="264">
        <f>(IF(SUM(H138+H140+H142+H144+H146+H148+H150+H152+H154)&lt;=4,SUM(H138+H140+H142+H144+H146+H148+H150+H152+H154),4))</f>
        <v>0</v>
      </c>
      <c r="H156" s="92"/>
      <c r="I156" s="254">
        <f>(IF(SUM(H138+H140+H142+H144+H146+H148+H150+H152+H154)&lt;=4,SUM(H138+H140+H142+H144+H146+H148+H150+H152+H154),4))</f>
        <v>0</v>
      </c>
      <c r="J156" s="125"/>
      <c r="K156" s="143">
        <f>K154</f>
        <v>0</v>
      </c>
      <c r="L156" s="128"/>
      <c r="M156" s="92"/>
      <c r="N156" s="144">
        <f>N154</f>
        <v>0</v>
      </c>
      <c r="O156" s="128"/>
    </row>
    <row r="157" spans="2:15" ht="5.25" customHeight="1" x14ac:dyDescent="0.45">
      <c r="B157" s="109"/>
      <c r="C157" s="218"/>
      <c r="D157" s="245"/>
      <c r="E157" s="219"/>
      <c r="F157" s="219"/>
      <c r="G157" s="219"/>
      <c r="H157" s="245"/>
      <c r="I157" s="267"/>
      <c r="K157" s="260"/>
      <c r="L157" s="100"/>
      <c r="N157" s="260"/>
      <c r="O157" s="100"/>
    </row>
    <row r="158" spans="2:15" ht="46.5" customHeight="1" x14ac:dyDescent="0.3">
      <c r="B158" s="101"/>
      <c r="C158" s="208"/>
      <c r="D158" s="208"/>
      <c r="E158" s="104" t="s">
        <v>263</v>
      </c>
      <c r="F158" s="1" t="s">
        <v>103</v>
      </c>
      <c r="G158" s="105" t="s">
        <v>14</v>
      </c>
      <c r="H158" s="248">
        <f>IF(F158="","",VLOOKUP(F158,'Referencias NO Productivos'!E137:F138,2,FALSE))</f>
        <v>0</v>
      </c>
      <c r="I158" s="274"/>
      <c r="K158" s="104"/>
      <c r="L158" s="108"/>
      <c r="N158" s="104"/>
      <c r="O158" s="108"/>
    </row>
    <row r="159" spans="2:15" ht="5.25" customHeight="1" x14ac:dyDescent="0.3">
      <c r="B159" s="109"/>
      <c r="C159" s="218"/>
      <c r="D159" s="218"/>
      <c r="E159" s="111"/>
      <c r="F159" s="116"/>
      <c r="G159" s="211"/>
      <c r="H159" s="211"/>
      <c r="I159" s="107"/>
      <c r="L159" s="100"/>
      <c r="O159" s="100"/>
    </row>
    <row r="160" spans="2:15" ht="46.5" customHeight="1" x14ac:dyDescent="0.45">
      <c r="B160" s="109"/>
      <c r="C160" s="218"/>
      <c r="D160" s="275" t="s">
        <v>329</v>
      </c>
      <c r="E160" s="104" t="s">
        <v>264</v>
      </c>
      <c r="F160" s="1" t="s">
        <v>103</v>
      </c>
      <c r="G160" s="105" t="s">
        <v>14</v>
      </c>
      <c r="H160" s="248">
        <f>IF(F160="","",VLOOKUP(F160,'Referencias NO Productivos'!E139:F140,2,FALSE))</f>
        <v>0</v>
      </c>
      <c r="I160" s="274"/>
      <c r="K160" s="104"/>
      <c r="L160" s="108"/>
      <c r="N160" s="104"/>
      <c r="O160" s="108"/>
    </row>
    <row r="161" spans="2:15" ht="5.25" customHeight="1" x14ac:dyDescent="0.3">
      <c r="B161" s="109"/>
      <c r="C161" s="218"/>
      <c r="D161" s="218"/>
      <c r="E161" s="111"/>
      <c r="F161" s="116"/>
      <c r="G161" s="211"/>
      <c r="H161" s="211"/>
      <c r="I161" s="107"/>
      <c r="L161" s="100"/>
      <c r="O161" s="100"/>
    </row>
    <row r="162" spans="2:15" ht="46.5" customHeight="1" x14ac:dyDescent="0.3">
      <c r="B162" s="109"/>
      <c r="C162" s="218"/>
      <c r="D162" s="276" t="s">
        <v>330</v>
      </c>
      <c r="E162" s="104" t="s">
        <v>265</v>
      </c>
      <c r="F162" s="1" t="s">
        <v>103</v>
      </c>
      <c r="G162" s="105" t="s">
        <v>14</v>
      </c>
      <c r="H162" s="248">
        <f>IF(F162="","",VLOOKUP(F162,'Referencias NO Productivos'!E141:F142,2,FALSE))</f>
        <v>0</v>
      </c>
      <c r="I162" s="274"/>
      <c r="K162" s="104"/>
      <c r="L162" s="108"/>
      <c r="N162" s="104"/>
      <c r="O162" s="108"/>
    </row>
    <row r="163" spans="2:15" ht="5.25" customHeight="1" x14ac:dyDescent="0.3">
      <c r="B163" s="109"/>
      <c r="C163" s="218"/>
      <c r="D163" s="218"/>
      <c r="E163" s="116"/>
      <c r="F163" s="116"/>
      <c r="G163" s="211"/>
      <c r="H163" s="211"/>
      <c r="I163" s="107"/>
      <c r="L163" s="100"/>
      <c r="O163" s="100"/>
    </row>
    <row r="164" spans="2:15" s="129" customFormat="1" ht="25.5" customHeight="1" x14ac:dyDescent="0.3">
      <c r="B164" s="119"/>
      <c r="C164" s="222"/>
      <c r="D164" s="222"/>
      <c r="E164" s="263" t="s">
        <v>81</v>
      </c>
      <c r="F164" s="264" t="s">
        <v>15</v>
      </c>
      <c r="G164" s="264">
        <f>(IF(SUM(H158+H160+H162)&lt;=2,SUM(H158+H160+H162),2))</f>
        <v>0</v>
      </c>
      <c r="H164" s="92"/>
      <c r="I164" s="254">
        <f>(IF(SUM(H158+H160+H162)&lt;=2,SUM(H158+H160+H162),2))</f>
        <v>0</v>
      </c>
      <c r="J164" s="125"/>
      <c r="K164" s="143">
        <f>K162</f>
        <v>0</v>
      </c>
      <c r="L164" s="128"/>
      <c r="M164" s="92"/>
      <c r="N164" s="144">
        <f>N162</f>
        <v>0</v>
      </c>
      <c r="O164" s="128"/>
    </row>
    <row r="165" spans="2:15" ht="5.25" customHeight="1" x14ac:dyDescent="0.45">
      <c r="B165" s="119"/>
      <c r="C165" s="117"/>
      <c r="D165" s="245"/>
      <c r="E165" s="219"/>
      <c r="F165" s="219"/>
      <c r="G165" s="219"/>
      <c r="H165" s="219"/>
      <c r="I165" s="267"/>
      <c r="K165" s="260"/>
      <c r="L165" s="100"/>
      <c r="N165" s="260"/>
      <c r="O165" s="100"/>
    </row>
    <row r="166" spans="2:15" s="129" customFormat="1" ht="25.5" customHeight="1" x14ac:dyDescent="0.3">
      <c r="B166" s="148"/>
      <c r="C166" s="252" t="s">
        <v>308</v>
      </c>
      <c r="D166" s="213"/>
      <c r="E166" s="214"/>
      <c r="F166" s="215" t="s">
        <v>142</v>
      </c>
      <c r="G166" s="253">
        <f>G136+G156+G164</f>
        <v>0</v>
      </c>
      <c r="H166" s="125"/>
      <c r="I166" s="254">
        <f>(IF(SUM(I136+I156+I164)&lt;=10,SUM(I136+I156+I164),10))</f>
        <v>0</v>
      </c>
      <c r="J166" s="125"/>
      <c r="K166" s="143">
        <f>K162</f>
        <v>0</v>
      </c>
      <c r="L166" s="128"/>
      <c r="M166" s="92"/>
      <c r="N166" s="144">
        <f>N162</f>
        <v>0</v>
      </c>
      <c r="O166" s="128"/>
    </row>
    <row r="167" spans="2:15" ht="5.25" customHeight="1" x14ac:dyDescent="0.45">
      <c r="B167" s="255"/>
      <c r="C167" s="256"/>
      <c r="D167" s="256"/>
      <c r="E167" s="219"/>
      <c r="F167" s="219"/>
      <c r="G167" s="219"/>
      <c r="H167" s="219"/>
      <c r="I167" s="257"/>
      <c r="K167" s="260"/>
      <c r="L167" s="100"/>
      <c r="N167" s="260"/>
      <c r="O167" s="100"/>
    </row>
    <row r="168" spans="2:15" ht="46.5" customHeight="1" x14ac:dyDescent="0.45">
      <c r="B168" s="101">
        <v>15</v>
      </c>
      <c r="C168" s="277" t="s">
        <v>334</v>
      </c>
      <c r="D168" s="208" t="s">
        <v>331</v>
      </c>
      <c r="E168" s="140" t="s">
        <v>136</v>
      </c>
      <c r="F168" s="1" t="s">
        <v>103</v>
      </c>
      <c r="G168" s="105" t="s">
        <v>293</v>
      </c>
      <c r="H168" s="248">
        <f>IF(F168="","",VLOOKUP(F168,'Referencias NO Productivos'!E143:F144,2,FALSE))</f>
        <v>0</v>
      </c>
      <c r="I168" s="107"/>
      <c r="L168" s="100"/>
      <c r="O168" s="100"/>
    </row>
    <row r="169" spans="2:15" ht="5.25" customHeight="1" x14ac:dyDescent="0.3">
      <c r="B169" s="109"/>
      <c r="C169" s="218"/>
      <c r="D169" s="218"/>
      <c r="E169" s="116"/>
      <c r="F169" s="116"/>
      <c r="G169" s="211"/>
      <c r="H169" s="211"/>
      <c r="I169" s="107"/>
      <c r="L169" s="100"/>
      <c r="O169" s="100"/>
    </row>
    <row r="170" spans="2:15" ht="51" customHeight="1" x14ac:dyDescent="0.3">
      <c r="B170" s="109"/>
      <c r="C170" s="218" t="s">
        <v>336</v>
      </c>
      <c r="D170" s="218" t="s">
        <v>332</v>
      </c>
      <c r="E170" s="116" t="s">
        <v>310</v>
      </c>
      <c r="F170" s="1" t="s">
        <v>103</v>
      </c>
      <c r="G170" s="105" t="s">
        <v>20</v>
      </c>
      <c r="H170" s="248">
        <f>IF(F170="","",VLOOKUP(F170,'Referencias NO Productivos'!E145:F146,2,FALSE))</f>
        <v>0</v>
      </c>
      <c r="I170" s="107"/>
      <c r="L170" s="100"/>
      <c r="O170" s="100"/>
    </row>
    <row r="171" spans="2:15" ht="5.25" customHeight="1" x14ac:dyDescent="0.3">
      <c r="B171" s="109"/>
      <c r="C171" s="218"/>
      <c r="D171" s="218"/>
      <c r="E171" s="116"/>
      <c r="F171" s="116"/>
      <c r="G171" s="211"/>
      <c r="H171" s="211"/>
      <c r="I171" s="107"/>
      <c r="L171" s="100"/>
      <c r="O171" s="100"/>
    </row>
    <row r="172" spans="2:15" ht="30" customHeight="1" x14ac:dyDescent="0.3">
      <c r="B172" s="119"/>
      <c r="C172" s="278" t="s">
        <v>335</v>
      </c>
      <c r="D172" s="222" t="s">
        <v>333</v>
      </c>
      <c r="E172" s="140" t="s">
        <v>98</v>
      </c>
      <c r="F172" s="1" t="s">
        <v>103</v>
      </c>
      <c r="G172" s="105" t="s">
        <v>14</v>
      </c>
      <c r="H172" s="279">
        <f>IF(F172="","",VLOOKUP(F172,'Referencias NO Productivos'!E147:F148,2,FALSE))</f>
        <v>0</v>
      </c>
      <c r="I172" s="274"/>
      <c r="L172" s="100"/>
      <c r="O172" s="100"/>
    </row>
    <row r="173" spans="2:15" ht="5.25" customHeight="1" thickBot="1" x14ac:dyDescent="0.5">
      <c r="B173" s="119"/>
      <c r="C173" s="233"/>
      <c r="D173" s="233"/>
      <c r="E173" s="280"/>
      <c r="F173" s="280"/>
      <c r="G173" s="280"/>
      <c r="H173" s="280"/>
      <c r="I173" s="281"/>
      <c r="K173" s="260"/>
      <c r="L173" s="100"/>
      <c r="N173" s="260"/>
      <c r="O173" s="100"/>
    </row>
    <row r="174" spans="2:15" s="129" customFormat="1" ht="25.5" customHeight="1" x14ac:dyDescent="0.3">
      <c r="B174" s="148"/>
      <c r="C174" s="252" t="s">
        <v>309</v>
      </c>
      <c r="D174" s="213"/>
      <c r="E174" s="214"/>
      <c r="F174" s="215" t="s">
        <v>142</v>
      </c>
      <c r="G174" s="253">
        <f>(IF(SUM(H168+H170+H172)&lt;=10,SUM(H168+H170+H172),10))</f>
        <v>0</v>
      </c>
      <c r="H174" s="125"/>
      <c r="I174" s="282">
        <f>(IF(SUM(H168+H170+H172)&lt;=10,SUM(H168+H170+H172),10))</f>
        <v>0</v>
      </c>
      <c r="J174" s="125"/>
      <c r="K174" s="143">
        <f>K168</f>
        <v>0</v>
      </c>
      <c r="L174" s="128"/>
      <c r="M174" s="92"/>
      <c r="N174" s="144">
        <f>N168</f>
        <v>0</v>
      </c>
      <c r="O174" s="128"/>
    </row>
    <row r="175" spans="2:15" ht="5.25" customHeight="1" thickBot="1" x14ac:dyDescent="0.5">
      <c r="B175" s="283"/>
      <c r="C175" s="280"/>
      <c r="D175" s="280"/>
      <c r="E175" s="280"/>
      <c r="F175" s="280"/>
      <c r="G175" s="280"/>
      <c r="H175" s="280"/>
      <c r="I175" s="281"/>
      <c r="K175" s="260"/>
      <c r="L175" s="100"/>
      <c r="N175" s="260"/>
      <c r="O175" s="100"/>
    </row>
    <row r="176" spans="2:15" ht="21.9" customHeight="1" thickBot="1" x14ac:dyDescent="0.35">
      <c r="B176" s="284"/>
      <c r="C176" s="284"/>
      <c r="D176" s="284"/>
      <c r="E176" s="284"/>
      <c r="F176" s="284"/>
      <c r="G176" s="284"/>
      <c r="H176" s="284"/>
      <c r="I176" s="284"/>
      <c r="J176" s="125"/>
      <c r="K176" s="118"/>
      <c r="L176" s="100"/>
      <c r="M176" s="81"/>
      <c r="O176" s="100"/>
    </row>
    <row r="177" spans="2:15" s="162" customFormat="1" ht="34.5" customHeight="1" thickBot="1" x14ac:dyDescent="0.35">
      <c r="B177" s="285" t="s">
        <v>135</v>
      </c>
      <c r="C177" s="286"/>
      <c r="D177" s="287"/>
      <c r="E177" s="287"/>
      <c r="F177" s="287"/>
      <c r="G177" s="287"/>
      <c r="H177" s="288"/>
      <c r="I177" s="289">
        <f>I108+I124+I166+I174</f>
        <v>0</v>
      </c>
      <c r="J177" s="159"/>
      <c r="K177" s="160">
        <f>K143+K151+K173</f>
        <v>0</v>
      </c>
      <c r="L177" s="161"/>
      <c r="N177" s="161">
        <f>N143+N151+N173</f>
        <v>0</v>
      </c>
      <c r="O177" s="161"/>
    </row>
    <row r="181" spans="2:15" ht="28.8" x14ac:dyDescent="0.3">
      <c r="C181" s="86" t="s">
        <v>99</v>
      </c>
      <c r="D181" s="86"/>
      <c r="E181" s="86"/>
      <c r="F181" s="86"/>
    </row>
    <row r="182" spans="2:15" ht="24" thickBot="1" x14ac:dyDescent="0.35"/>
    <row r="183" spans="2:15" ht="47.25" customHeight="1" thickBot="1" x14ac:dyDescent="0.35">
      <c r="B183" s="290"/>
      <c r="C183" s="291"/>
      <c r="D183" s="291"/>
      <c r="E183" s="292" t="s">
        <v>266</v>
      </c>
      <c r="F183" s="291"/>
      <c r="G183" s="291"/>
      <c r="H183" s="291"/>
      <c r="I183" s="293"/>
    </row>
    <row r="184" spans="2:15" ht="24" thickBot="1" x14ac:dyDescent="0.35"/>
    <row r="185" spans="2:15" ht="34.5" customHeight="1" thickBot="1" x14ac:dyDescent="0.35">
      <c r="B185" s="155" t="s">
        <v>100</v>
      </c>
      <c r="C185" s="156"/>
      <c r="D185" s="156"/>
      <c r="E185" s="156"/>
      <c r="F185" s="156"/>
      <c r="G185" s="156"/>
      <c r="H185" s="157"/>
      <c r="I185" s="158">
        <f>I37</f>
        <v>0</v>
      </c>
    </row>
    <row r="186" spans="2:15" ht="24" thickBot="1" x14ac:dyDescent="0.35"/>
    <row r="187" spans="2:15" ht="34.5" customHeight="1" thickBot="1" x14ac:dyDescent="0.35">
      <c r="B187" s="197" t="s">
        <v>19</v>
      </c>
      <c r="C187" s="198"/>
      <c r="D187" s="198"/>
      <c r="E187" s="198"/>
      <c r="F187" s="198"/>
      <c r="G187" s="198"/>
      <c r="H187" s="199"/>
      <c r="I187" s="200">
        <f>I75</f>
        <v>15.25</v>
      </c>
    </row>
    <row r="188" spans="2:15" ht="24" thickBot="1" x14ac:dyDescent="0.35"/>
    <row r="189" spans="2:15" ht="34.5" customHeight="1" thickBot="1" x14ac:dyDescent="0.35">
      <c r="B189" s="237" t="s">
        <v>101</v>
      </c>
      <c r="C189" s="238"/>
      <c r="D189" s="238"/>
      <c r="E189" s="238"/>
      <c r="F189" s="238"/>
      <c r="G189" s="238"/>
      <c r="H189" s="239"/>
      <c r="I189" s="240">
        <f>I96</f>
        <v>0</v>
      </c>
    </row>
    <row r="190" spans="2:15" ht="24" thickBot="1" x14ac:dyDescent="0.35"/>
    <row r="191" spans="2:15" ht="34.5" customHeight="1" thickBot="1" x14ac:dyDescent="0.35">
      <c r="B191" s="285" t="s">
        <v>135</v>
      </c>
      <c r="C191" s="287"/>
      <c r="D191" s="287"/>
      <c r="E191" s="287"/>
      <c r="F191" s="287"/>
      <c r="G191" s="287"/>
      <c r="H191" s="288"/>
      <c r="I191" s="289">
        <f>I177</f>
        <v>0</v>
      </c>
    </row>
    <row r="194" spans="2:15" ht="24" thickBot="1" x14ac:dyDescent="0.35"/>
    <row r="195" spans="2:15" ht="36.75" customHeight="1" thickBot="1" x14ac:dyDescent="0.35">
      <c r="B195" s="294" t="s">
        <v>21</v>
      </c>
      <c r="C195" s="295"/>
      <c r="D195" s="295"/>
      <c r="E195" s="295"/>
      <c r="F195" s="295"/>
      <c r="G195" s="295"/>
      <c r="H195" s="296"/>
      <c r="I195" s="297">
        <f>I37+I75+I96+I177</f>
        <v>15.25</v>
      </c>
      <c r="J195" s="298"/>
      <c r="K195" s="299" t="e">
        <f>K95+K75+#REF!+#REF!+#REF!</f>
        <v>#REF!</v>
      </c>
      <c r="L195" s="108"/>
      <c r="M195" s="300"/>
      <c r="N195" s="301" t="e">
        <f>N95+N75+#REF!+#REF!+#REF!</f>
        <v>#REF!</v>
      </c>
      <c r="O195" s="108"/>
    </row>
    <row r="197" spans="2:15" s="84" customFormat="1" ht="28.8" x14ac:dyDescent="0.3">
      <c r="B197" s="85"/>
      <c r="C197" s="74" t="s">
        <v>354</v>
      </c>
      <c r="D197" s="74"/>
      <c r="E197" s="74"/>
      <c r="G197" s="82"/>
      <c r="H197" s="82"/>
      <c r="I197" s="82"/>
      <c r="K197" s="81"/>
      <c r="L197" s="81"/>
      <c r="N197" s="81"/>
      <c r="O197" s="81"/>
    </row>
    <row r="198" spans="2:15" s="84" customFormat="1" ht="28.8" x14ac:dyDescent="0.3">
      <c r="B198" s="85"/>
      <c r="C198" s="86"/>
      <c r="D198" s="86"/>
      <c r="E198" s="86"/>
      <c r="G198" s="82"/>
      <c r="H198" s="82"/>
      <c r="I198" s="82"/>
      <c r="K198" s="81"/>
      <c r="L198" s="81"/>
      <c r="N198" s="81"/>
      <c r="O198" s="81"/>
    </row>
    <row r="199" spans="2:15" s="84" customFormat="1" ht="28.8" x14ac:dyDescent="0.3">
      <c r="B199" s="85"/>
      <c r="C199" s="86"/>
      <c r="D199" s="86"/>
      <c r="E199" s="86"/>
      <c r="G199" s="82"/>
      <c r="H199" s="82"/>
      <c r="I199" s="82"/>
      <c r="K199" s="81"/>
      <c r="L199" s="81"/>
      <c r="N199" s="81"/>
      <c r="O199" s="81"/>
    </row>
    <row r="200" spans="2:15" s="84" customFormat="1" ht="28.8" x14ac:dyDescent="0.3">
      <c r="B200" s="85"/>
      <c r="C200" s="86"/>
      <c r="D200" s="86"/>
      <c r="E200" s="86"/>
      <c r="G200" s="82"/>
      <c r="H200" s="82"/>
      <c r="I200" s="82"/>
      <c r="K200" s="81"/>
      <c r="L200" s="81"/>
      <c r="N200" s="81"/>
      <c r="O200" s="81"/>
    </row>
    <row r="201" spans="2:15" ht="15" customHeight="1" x14ac:dyDescent="0.3">
      <c r="C201" s="81"/>
      <c r="D201" s="81"/>
      <c r="F201" s="84"/>
      <c r="G201" s="82"/>
      <c r="H201" s="82"/>
      <c r="I201" s="82"/>
    </row>
    <row r="202" spans="2:15" ht="23.25" customHeight="1" x14ac:dyDescent="0.3">
      <c r="C202" s="81"/>
      <c r="D202" s="81"/>
      <c r="G202" s="82"/>
      <c r="H202" s="82"/>
      <c r="I202" s="82"/>
    </row>
    <row r="203" spans="2:15" ht="28.8" x14ac:dyDescent="0.3">
      <c r="C203" s="83" t="s">
        <v>22</v>
      </c>
      <c r="D203" s="72"/>
      <c r="E203" s="72"/>
      <c r="F203" s="81"/>
      <c r="G203" s="82"/>
      <c r="H203" s="82"/>
      <c r="I203" s="82"/>
    </row>
    <row r="204" spans="2:15" x14ac:dyDescent="0.3">
      <c r="E204" s="81"/>
      <c r="G204" s="82"/>
      <c r="H204" s="82"/>
      <c r="I204" s="82"/>
    </row>
  </sheetData>
  <sheetProtection algorithmName="SHA-512" hashValue="bgmlXvG3wDIniTPtLIDTAOv4F4G4GjhdCKiCSGtBHut0tt7tJvJaHxnHObKw3KvicvvEYw5SK1v7txCEVXqhjg==" saltValue="WAe6175ivIOGdaUKnE7XQg==" spinCount="100000" sheet="1" objects="1" scenarios="1"/>
  <mergeCells count="20">
    <mergeCell ref="D126:D134"/>
    <mergeCell ref="D20:D22"/>
    <mergeCell ref="D26:D28"/>
    <mergeCell ref="D14:D16"/>
    <mergeCell ref="E102:E104"/>
    <mergeCell ref="D102:D106"/>
    <mergeCell ref="F4:I4"/>
    <mergeCell ref="H7:I7"/>
    <mergeCell ref="G8:I8"/>
    <mergeCell ref="D3:F3"/>
    <mergeCell ref="C102:C106"/>
    <mergeCell ref="F102:F104"/>
    <mergeCell ref="G102:G104"/>
    <mergeCell ref="H102:H104"/>
    <mergeCell ref="D6:I6"/>
    <mergeCell ref="D7:F7"/>
    <mergeCell ref="D8:E8"/>
    <mergeCell ref="B6:C6"/>
    <mergeCell ref="B7:C7"/>
    <mergeCell ref="B8:C8"/>
  </mergeCells>
  <conditionalFormatting sqref="I195">
    <cfRule type="expression" dxfId="167" priority="456" stopIfTrue="1">
      <formula>"SI($E$6=""Proyecto Productivo"")&gt;25"</formula>
    </cfRule>
    <cfRule type="expression" dxfId="166" priority="455">
      <formula>"'=SI($E$6&gt;&lt;""Proyecto Productivo""Y&gt;25)"</formula>
    </cfRule>
  </conditionalFormatting>
  <conditionalFormatting sqref="K14 K16 K20 K22 K26 K28 K32 K42 K126:K132">
    <cfRule type="cellIs" dxfId="165" priority="421" operator="notEqual">
      <formula>$H14</formula>
    </cfRule>
    <cfRule type="cellIs" dxfId="164" priority="422" operator="equal">
      <formula>$H14</formula>
    </cfRule>
  </conditionalFormatting>
  <conditionalFormatting sqref="K17:K18 K24 K30 K34:K35 K56">
    <cfRule type="cellIs" dxfId="163" priority="357" operator="notEqual">
      <formula>$I17</formula>
    </cfRule>
    <cfRule type="cellIs" dxfId="162" priority="358" operator="equal">
      <formula>$I17</formula>
    </cfRule>
  </conditionalFormatting>
  <conditionalFormatting sqref="K37">
    <cfRule type="cellIs" dxfId="161" priority="73" operator="notEqual">
      <formula>$I37</formula>
    </cfRule>
    <cfRule type="cellIs" dxfId="160" priority="74" operator="equal">
      <formula>$I37</formula>
    </cfRule>
  </conditionalFormatting>
  <conditionalFormatting sqref="K44">
    <cfRule type="cellIs" dxfId="159" priority="418" operator="equal">
      <formula>$H44</formula>
    </cfRule>
    <cfRule type="cellIs" dxfId="158" priority="417" operator="notEqual">
      <formula>$H44</formula>
    </cfRule>
  </conditionalFormatting>
  <conditionalFormatting sqref="K46:K52">
    <cfRule type="cellIs" dxfId="157" priority="413" operator="notEqual">
      <formula>$H46</formula>
    </cfRule>
    <cfRule type="cellIs" dxfId="156" priority="414" operator="equal">
      <formula>$H46</formula>
    </cfRule>
  </conditionalFormatting>
  <conditionalFormatting sqref="K54">
    <cfRule type="cellIs" dxfId="155" priority="410" operator="equal">
      <formula>$H54</formula>
    </cfRule>
    <cfRule type="cellIs" dxfId="154" priority="409" operator="notEqual">
      <formula>$H54</formula>
    </cfRule>
  </conditionalFormatting>
  <conditionalFormatting sqref="K58 K60 K62">
    <cfRule type="cellIs" dxfId="153" priority="462" operator="equal">
      <formula>$H66</formula>
    </cfRule>
    <cfRule type="cellIs" dxfId="152" priority="461" operator="notEqual">
      <formula>$H66</formula>
    </cfRule>
  </conditionalFormatting>
  <conditionalFormatting sqref="K64">
    <cfRule type="cellIs" dxfId="151" priority="353" operator="notEqual">
      <formula>$I64</formula>
    </cfRule>
    <cfRule type="cellIs" dxfId="150" priority="354" operator="equal">
      <formula>$I64</formula>
    </cfRule>
  </conditionalFormatting>
  <conditionalFormatting sqref="K70">
    <cfRule type="cellIs" dxfId="149" priority="463" operator="notEqual">
      <formula>$H60</formula>
    </cfRule>
    <cfRule type="cellIs" dxfId="148" priority="464" operator="equal">
      <formula>$H60</formula>
    </cfRule>
  </conditionalFormatting>
  <conditionalFormatting sqref="K72">
    <cfRule type="cellIs" dxfId="147" priority="349" operator="notEqual">
      <formula>$I72</formula>
    </cfRule>
    <cfRule type="cellIs" dxfId="146" priority="350" operator="equal">
      <formula>$I72</formula>
    </cfRule>
  </conditionalFormatting>
  <conditionalFormatting sqref="K75">
    <cfRule type="cellIs" dxfId="145" priority="70" operator="equal">
      <formula>$I75</formula>
    </cfRule>
    <cfRule type="cellIs" dxfId="144" priority="69" operator="notEqual">
      <formula>$I75</formula>
    </cfRule>
  </conditionalFormatting>
  <conditionalFormatting sqref="K81">
    <cfRule type="cellIs" dxfId="143" priority="45" operator="notEqual">
      <formula>$I81</formula>
    </cfRule>
    <cfRule type="cellIs" dxfId="142" priority="46" operator="equal">
      <formula>$I81</formula>
    </cfRule>
  </conditionalFormatting>
  <conditionalFormatting sqref="K82:K83">
    <cfRule type="cellIs" dxfId="141" priority="134" stopIfTrue="1" operator="equal">
      <formula>#REF!</formula>
    </cfRule>
    <cfRule type="cellIs" dxfId="140" priority="133" stopIfTrue="1" operator="notEqual">
      <formula>#REF!</formula>
    </cfRule>
  </conditionalFormatting>
  <conditionalFormatting sqref="K85">
    <cfRule type="cellIs" dxfId="139" priority="126" stopIfTrue="1" operator="equal">
      <formula>#REF!</formula>
    </cfRule>
    <cfRule type="cellIs" dxfId="138" priority="125" stopIfTrue="1" operator="notEqual">
      <formula>#REF!</formula>
    </cfRule>
  </conditionalFormatting>
  <conditionalFormatting sqref="K87">
    <cfRule type="cellIs" dxfId="137" priority="41" operator="notEqual">
      <formula>$I87</formula>
    </cfRule>
    <cfRule type="cellIs" dxfId="136" priority="42" operator="equal">
      <formula>$I87</formula>
    </cfRule>
  </conditionalFormatting>
  <conditionalFormatting sqref="K88:K89">
    <cfRule type="cellIs" dxfId="135" priority="110" stopIfTrue="1" operator="equal">
      <formula>#REF!</formula>
    </cfRule>
    <cfRule type="cellIs" dxfId="134" priority="109" stopIfTrue="1" operator="notEqual">
      <formula>#REF!</formula>
    </cfRule>
  </conditionalFormatting>
  <conditionalFormatting sqref="K91">
    <cfRule type="cellIs" dxfId="133" priority="106" stopIfTrue="1" operator="equal">
      <formula>#REF!</formula>
    </cfRule>
    <cfRule type="cellIs" dxfId="132" priority="105" operator="notEqual">
      <formula>#REF!</formula>
    </cfRule>
  </conditionalFormatting>
  <conditionalFormatting sqref="K93">
    <cfRule type="cellIs" dxfId="131" priority="13" operator="notEqual">
      <formula>$I93</formula>
    </cfRule>
    <cfRule type="cellIs" dxfId="130" priority="14" operator="equal">
      <formula>$I93</formula>
    </cfRule>
  </conditionalFormatting>
  <conditionalFormatting sqref="K94">
    <cfRule type="cellIs" dxfId="129" priority="17" stopIfTrue="1" operator="notEqual">
      <formula>#REF!</formula>
    </cfRule>
    <cfRule type="cellIs" dxfId="128" priority="18" stopIfTrue="1" operator="equal">
      <formula>#REF!</formula>
    </cfRule>
  </conditionalFormatting>
  <conditionalFormatting sqref="K95:K97">
    <cfRule type="cellIs" dxfId="127" priority="65" operator="notEqual">
      <formula>$I95</formula>
    </cfRule>
    <cfRule type="cellIs" dxfId="126" priority="66" operator="equal">
      <formula>$I95</formula>
    </cfRule>
  </conditionalFormatting>
  <conditionalFormatting sqref="K100:K106">
    <cfRule type="cellIs" dxfId="125" priority="313" operator="notEqual">
      <formula>$H100</formula>
    </cfRule>
    <cfRule type="cellIs" dxfId="124" priority="314" operator="equal">
      <formula>$H100</formula>
    </cfRule>
  </conditionalFormatting>
  <conditionalFormatting sqref="K108">
    <cfRule type="cellIs" dxfId="123" priority="93" operator="notEqual">
      <formula>$I108</formula>
    </cfRule>
    <cfRule type="cellIs" dxfId="122" priority="94" operator="equal">
      <formula>$I108</formula>
    </cfRule>
  </conditionalFormatting>
  <conditionalFormatting sqref="K110">
    <cfRule type="cellIs" dxfId="121" priority="310" operator="equal">
      <formula>$H110</formula>
    </cfRule>
    <cfRule type="cellIs" dxfId="120" priority="309" operator="notEqual">
      <formula>$H110</formula>
    </cfRule>
  </conditionalFormatting>
  <conditionalFormatting sqref="K114">
    <cfRule type="cellIs" dxfId="119" priority="306" operator="equal">
      <formula>$H114</formula>
    </cfRule>
    <cfRule type="cellIs" dxfId="118" priority="305" operator="notEqual">
      <formula>$H114</formula>
    </cfRule>
  </conditionalFormatting>
  <conditionalFormatting sqref="K116">
    <cfRule type="cellIs" dxfId="117" priority="178" operator="equal">
      <formula>$H116</formula>
    </cfRule>
    <cfRule type="cellIs" dxfId="116" priority="177" operator="notEqual">
      <formula>$H116</formula>
    </cfRule>
  </conditionalFormatting>
  <conditionalFormatting sqref="K118">
    <cfRule type="cellIs" dxfId="115" priority="98" operator="equal">
      <formula>$I118</formula>
    </cfRule>
    <cfRule type="cellIs" dxfId="114" priority="97" operator="notEqual">
      <formula>$I118</formula>
    </cfRule>
  </conditionalFormatting>
  <conditionalFormatting sqref="K120">
    <cfRule type="cellIs" dxfId="113" priority="302" operator="equal">
      <formula>$H120</formula>
    </cfRule>
    <cfRule type="cellIs" dxfId="112" priority="301" operator="notEqual">
      <formula>$H120</formula>
    </cfRule>
  </conditionalFormatting>
  <conditionalFormatting sqref="K122">
    <cfRule type="cellIs" dxfId="111" priority="90" operator="equal">
      <formula>$I122</formula>
    </cfRule>
    <cfRule type="cellIs" dxfId="110" priority="89" operator="notEqual">
      <formula>$I122</formula>
    </cfRule>
  </conditionalFormatting>
  <conditionalFormatting sqref="K124">
    <cfRule type="cellIs" dxfId="109" priority="86" operator="equal">
      <formula>$I124</formula>
    </cfRule>
    <cfRule type="cellIs" dxfId="108" priority="85" operator="notEqual">
      <formula>$I124</formula>
    </cfRule>
  </conditionalFormatting>
  <conditionalFormatting sqref="K134">
    <cfRule type="cellIs" dxfId="107" priority="293" operator="notEqual">
      <formula>$H134</formula>
    </cfRule>
    <cfRule type="cellIs" dxfId="106" priority="294" operator="equal">
      <formula>$H134</formula>
    </cfRule>
  </conditionalFormatting>
  <conditionalFormatting sqref="K136">
    <cfRule type="cellIs" dxfId="105" priority="37" operator="notEqual">
      <formula>$I136</formula>
    </cfRule>
    <cfRule type="cellIs" dxfId="104" priority="38" operator="equal">
      <formula>$I136</formula>
    </cfRule>
  </conditionalFormatting>
  <conditionalFormatting sqref="K138:K152">
    <cfRule type="cellIs" dxfId="103" priority="82" operator="equal">
      <formula>$H138</formula>
    </cfRule>
    <cfRule type="cellIs" dxfId="102" priority="81" operator="notEqual">
      <formula>$H138</formula>
    </cfRule>
  </conditionalFormatting>
  <conditionalFormatting sqref="K154">
    <cfRule type="cellIs" dxfId="101" priority="77" operator="notEqual">
      <formula>$H154</formula>
    </cfRule>
    <cfRule type="cellIs" dxfId="100" priority="78" operator="equal">
      <formula>$H154</formula>
    </cfRule>
  </conditionalFormatting>
  <conditionalFormatting sqref="K156">
    <cfRule type="cellIs" dxfId="99" priority="34" operator="equal">
      <formula>$I156</formula>
    </cfRule>
    <cfRule type="cellIs" dxfId="98" priority="33" operator="notEqual">
      <formula>$I156</formula>
    </cfRule>
  </conditionalFormatting>
  <conditionalFormatting sqref="K158:K163 K168:K172">
    <cfRule type="cellIs" dxfId="97" priority="289" operator="notEqual">
      <formula>$H158</formula>
    </cfRule>
    <cfRule type="cellIs" dxfId="96" priority="290" operator="equal">
      <formula>$H158</formula>
    </cfRule>
  </conditionalFormatting>
  <conditionalFormatting sqref="K164">
    <cfRule type="cellIs" dxfId="95" priority="26" operator="equal">
      <formula>$I164</formula>
    </cfRule>
    <cfRule type="cellIs" dxfId="94" priority="25" operator="notEqual">
      <formula>$I164</formula>
    </cfRule>
  </conditionalFormatting>
  <conditionalFormatting sqref="K166">
    <cfRule type="cellIs" dxfId="93" priority="29" operator="notEqual">
      <formula>$I166</formula>
    </cfRule>
    <cfRule type="cellIs" dxfId="92" priority="30" operator="equal">
      <formula>$I166</formula>
    </cfRule>
  </conditionalFormatting>
  <conditionalFormatting sqref="K174">
    <cfRule type="cellIs" dxfId="91" priority="21" operator="notEqual">
      <formula>$I174</formula>
    </cfRule>
    <cfRule type="cellIs" dxfId="90" priority="22" operator="equal">
      <formula>$I174</formula>
    </cfRule>
  </conditionalFormatting>
  <conditionalFormatting sqref="K176:K177">
    <cfRule type="cellIs" dxfId="89" priority="61" operator="notEqual">
      <formula>$I176</formula>
    </cfRule>
    <cfRule type="cellIs" dxfId="88" priority="62" operator="equal">
      <formula>$I176</formula>
    </cfRule>
  </conditionalFormatting>
  <conditionalFormatting sqref="K195">
    <cfRule type="cellIs" dxfId="87" priority="181" operator="notEqual">
      <formula>$I195</formula>
    </cfRule>
    <cfRule type="cellIs" dxfId="86" priority="182" operator="equal">
      <formula>$I195</formula>
    </cfRule>
  </conditionalFormatting>
  <conditionalFormatting sqref="N14 N16 N20 N22 N26 N28 N32 N126:N132">
    <cfRule type="cellIs" dxfId="85" priority="440" operator="equal">
      <formula>$K14</formula>
    </cfRule>
    <cfRule type="cellIs" dxfId="84" priority="439" operator="notEqual">
      <formula>$K14</formula>
    </cfRule>
  </conditionalFormatting>
  <conditionalFormatting sqref="N17:N18 N24 N30 N34:N35 N56">
    <cfRule type="cellIs" dxfId="83" priority="355" operator="equal">
      <formula>$K17</formula>
    </cfRule>
    <cfRule type="cellIs" dxfId="82" priority="356" operator="notEqual">
      <formula>$K17</formula>
    </cfRule>
  </conditionalFormatting>
  <conditionalFormatting sqref="N37">
    <cfRule type="cellIs" dxfId="81" priority="72" operator="notEqual">
      <formula>$K37</formula>
    </cfRule>
    <cfRule type="cellIs" dxfId="80" priority="71" operator="equal">
      <formula>$K37</formula>
    </cfRule>
  </conditionalFormatting>
  <conditionalFormatting sqref="N42">
    <cfRule type="cellIs" dxfId="79" priority="420" operator="equal">
      <formula>$K42</formula>
    </cfRule>
    <cfRule type="cellIs" dxfId="78" priority="419" operator="notEqual">
      <formula>$K42</formula>
    </cfRule>
  </conditionalFormatting>
  <conditionalFormatting sqref="N44">
    <cfRule type="cellIs" dxfId="77" priority="416" operator="equal">
      <formula>$K44</formula>
    </cfRule>
    <cfRule type="cellIs" dxfId="76" priority="415" operator="notEqual">
      <formula>$K44</formula>
    </cfRule>
  </conditionalFormatting>
  <conditionalFormatting sqref="N46:N52">
    <cfRule type="cellIs" dxfId="75" priority="411" operator="notEqual">
      <formula>$K46</formula>
    </cfRule>
    <cfRule type="cellIs" dxfId="74" priority="412" operator="equal">
      <formula>$K46</formula>
    </cfRule>
  </conditionalFormatting>
  <conditionalFormatting sqref="N54">
    <cfRule type="cellIs" dxfId="73" priority="408" operator="equal">
      <formula>$K54</formula>
    </cfRule>
    <cfRule type="cellIs" dxfId="72" priority="407" operator="notEqual">
      <formula>$K54</formula>
    </cfRule>
  </conditionalFormatting>
  <conditionalFormatting sqref="N58">
    <cfRule type="cellIs" dxfId="71" priority="404" operator="equal">
      <formula>$K58</formula>
    </cfRule>
    <cfRule type="cellIs" dxfId="70" priority="403" operator="notEqual">
      <formula>$K58</formula>
    </cfRule>
  </conditionalFormatting>
  <conditionalFormatting sqref="N60">
    <cfRule type="cellIs" dxfId="69" priority="400" operator="equal">
      <formula>$K60</formula>
    </cfRule>
    <cfRule type="cellIs" dxfId="68" priority="399" operator="notEqual">
      <formula>$K60</formula>
    </cfRule>
  </conditionalFormatting>
  <conditionalFormatting sqref="N62">
    <cfRule type="cellIs" dxfId="67" priority="395" operator="notEqual">
      <formula>$K62</formula>
    </cfRule>
    <cfRule type="cellIs" dxfId="66" priority="396" operator="equal">
      <formula>$K62</formula>
    </cfRule>
  </conditionalFormatting>
  <conditionalFormatting sqref="N64">
    <cfRule type="cellIs" dxfId="65" priority="351" operator="equal">
      <formula>$K64</formula>
    </cfRule>
    <cfRule type="cellIs" dxfId="64" priority="352" operator="notEqual">
      <formula>$K64</formula>
    </cfRule>
  </conditionalFormatting>
  <conditionalFormatting sqref="N70">
    <cfRule type="cellIs" dxfId="63" priority="392" operator="equal">
      <formula>$K70</formula>
    </cfRule>
    <cfRule type="cellIs" dxfId="62" priority="391" operator="notEqual">
      <formula>$K70</formula>
    </cfRule>
  </conditionalFormatting>
  <conditionalFormatting sqref="N72">
    <cfRule type="cellIs" dxfId="61" priority="347" operator="equal">
      <formula>$K72</formula>
    </cfRule>
    <cfRule type="cellIs" dxfId="60" priority="348" operator="notEqual">
      <formula>$K72</formula>
    </cfRule>
  </conditionalFormatting>
  <conditionalFormatting sqref="N75">
    <cfRule type="cellIs" dxfId="59" priority="67" operator="equal">
      <formula>$K75</formula>
    </cfRule>
    <cfRule type="cellIs" dxfId="58" priority="68" operator="notEqual">
      <formula>$K75</formula>
    </cfRule>
  </conditionalFormatting>
  <conditionalFormatting sqref="N81">
    <cfRule type="cellIs" dxfId="57" priority="44" operator="notEqual">
      <formula>$K81</formula>
    </cfRule>
    <cfRule type="cellIs" dxfId="56" priority="43" operator="equal">
      <formula>$K81</formula>
    </cfRule>
  </conditionalFormatting>
  <conditionalFormatting sqref="N82:N83">
    <cfRule type="cellIs" dxfId="55" priority="132" stopIfTrue="1" operator="equal">
      <formula>#REF!</formula>
    </cfRule>
    <cfRule type="cellIs" dxfId="54" priority="131" operator="notEqual">
      <formula>#REF!</formula>
    </cfRule>
  </conditionalFormatting>
  <conditionalFormatting sqref="N85">
    <cfRule type="cellIs" dxfId="53" priority="123" operator="notEqual">
      <formula>#REF!</formula>
    </cfRule>
    <cfRule type="cellIs" dxfId="52" priority="124" stopIfTrue="1" operator="equal">
      <formula>#REF!</formula>
    </cfRule>
  </conditionalFormatting>
  <conditionalFormatting sqref="N87">
    <cfRule type="cellIs" dxfId="51" priority="40" operator="notEqual">
      <formula>$K87</formula>
    </cfRule>
    <cfRule type="cellIs" dxfId="50" priority="39" operator="equal">
      <formula>$K87</formula>
    </cfRule>
  </conditionalFormatting>
  <conditionalFormatting sqref="N88:N89">
    <cfRule type="cellIs" dxfId="49" priority="108" stopIfTrue="1" operator="equal">
      <formula>#REF!</formula>
    </cfRule>
    <cfRule type="cellIs" dxfId="48" priority="107" operator="notEqual">
      <formula>#REF!</formula>
    </cfRule>
  </conditionalFormatting>
  <conditionalFormatting sqref="N91">
    <cfRule type="cellIs" dxfId="47" priority="103" operator="notEqual">
      <formula>#REF!</formula>
    </cfRule>
    <cfRule type="cellIs" dxfId="46" priority="104" stopIfTrue="1" operator="equal">
      <formula>#REF!</formula>
    </cfRule>
  </conditionalFormatting>
  <conditionalFormatting sqref="N93">
    <cfRule type="cellIs" dxfId="45" priority="11" operator="equal">
      <formula>$K93</formula>
    </cfRule>
    <cfRule type="cellIs" dxfId="44" priority="12" operator="notEqual">
      <formula>$K93</formula>
    </cfRule>
  </conditionalFormatting>
  <conditionalFormatting sqref="N94">
    <cfRule type="cellIs" dxfId="43" priority="16" stopIfTrue="1" operator="equal">
      <formula>#REF!</formula>
    </cfRule>
    <cfRule type="cellIs" dxfId="42" priority="15" operator="notEqual">
      <formula>#REF!</formula>
    </cfRule>
  </conditionalFormatting>
  <conditionalFormatting sqref="N95:N97">
    <cfRule type="cellIs" dxfId="41" priority="63" operator="equal">
      <formula>$K95</formula>
    </cfRule>
    <cfRule type="cellIs" dxfId="40" priority="64" operator="notEqual">
      <formula>$K95</formula>
    </cfRule>
  </conditionalFormatting>
  <conditionalFormatting sqref="N100:N106">
    <cfRule type="cellIs" dxfId="39" priority="311" operator="notEqual">
      <formula>$K100</formula>
    </cfRule>
    <cfRule type="cellIs" dxfId="38" priority="312" operator="equal">
      <formula>$K100</formula>
    </cfRule>
  </conditionalFormatting>
  <conditionalFormatting sqref="N108">
    <cfRule type="cellIs" dxfId="37" priority="91" operator="equal">
      <formula>$K108</formula>
    </cfRule>
    <cfRule type="cellIs" dxfId="36" priority="92" operator="notEqual">
      <formula>$K108</formula>
    </cfRule>
  </conditionalFormatting>
  <conditionalFormatting sqref="N110">
    <cfRule type="cellIs" dxfId="35" priority="307" operator="notEqual">
      <formula>$K110</formula>
    </cfRule>
    <cfRule type="cellIs" dxfId="34" priority="308" operator="equal">
      <formula>$K110</formula>
    </cfRule>
  </conditionalFormatting>
  <conditionalFormatting sqref="N114">
    <cfRule type="cellIs" dxfId="33" priority="304" operator="equal">
      <formula>$K114</formula>
    </cfRule>
    <cfRule type="cellIs" dxfId="32" priority="303" operator="notEqual">
      <formula>$K114</formula>
    </cfRule>
  </conditionalFormatting>
  <conditionalFormatting sqref="N116">
    <cfRule type="cellIs" dxfId="31" priority="176" operator="equal">
      <formula>$K116</formula>
    </cfRule>
    <cfRule type="cellIs" dxfId="30" priority="175" operator="notEqual">
      <formula>$K116</formula>
    </cfRule>
  </conditionalFormatting>
  <conditionalFormatting sqref="N118">
    <cfRule type="cellIs" dxfId="29" priority="95" operator="equal">
      <formula>$K118</formula>
    </cfRule>
    <cfRule type="cellIs" dxfId="28" priority="96" operator="notEqual">
      <formula>$K118</formula>
    </cfRule>
  </conditionalFormatting>
  <conditionalFormatting sqref="N120">
    <cfRule type="cellIs" dxfId="27" priority="300" operator="equal">
      <formula>$K120</formula>
    </cfRule>
    <cfRule type="cellIs" dxfId="26" priority="299" operator="notEqual">
      <formula>$K120</formula>
    </cfRule>
  </conditionalFormatting>
  <conditionalFormatting sqref="N122">
    <cfRule type="cellIs" dxfId="25" priority="88" operator="notEqual">
      <formula>$K122</formula>
    </cfRule>
    <cfRule type="cellIs" dxfId="24" priority="87" operator="equal">
      <formula>$K122</formula>
    </cfRule>
  </conditionalFormatting>
  <conditionalFormatting sqref="N124">
    <cfRule type="cellIs" dxfId="23" priority="84" operator="notEqual">
      <formula>$K124</formula>
    </cfRule>
    <cfRule type="cellIs" dxfId="22" priority="83" operator="equal">
      <formula>$K124</formula>
    </cfRule>
  </conditionalFormatting>
  <conditionalFormatting sqref="N134">
    <cfRule type="cellIs" dxfId="21" priority="291" operator="notEqual">
      <formula>$K134</formula>
    </cfRule>
    <cfRule type="cellIs" dxfId="20" priority="292" operator="equal">
      <formula>$K134</formula>
    </cfRule>
  </conditionalFormatting>
  <conditionalFormatting sqref="N136">
    <cfRule type="cellIs" dxfId="19" priority="36" operator="notEqual">
      <formula>$K136</formula>
    </cfRule>
    <cfRule type="cellIs" dxfId="18" priority="35" operator="equal">
      <formula>$K136</formula>
    </cfRule>
  </conditionalFormatting>
  <conditionalFormatting sqref="N138:N152">
    <cfRule type="cellIs" dxfId="17" priority="80" operator="equal">
      <formula>$K138</formula>
    </cfRule>
    <cfRule type="cellIs" dxfId="16" priority="79" operator="notEqual">
      <formula>$K138</formula>
    </cfRule>
  </conditionalFormatting>
  <conditionalFormatting sqref="N154">
    <cfRule type="cellIs" dxfId="15" priority="76" operator="equal">
      <formula>$K154</formula>
    </cfRule>
    <cfRule type="cellIs" dxfId="14" priority="75" operator="notEqual">
      <formula>$K154</formula>
    </cfRule>
  </conditionalFormatting>
  <conditionalFormatting sqref="N156">
    <cfRule type="cellIs" dxfId="13" priority="31" operator="equal">
      <formula>$K156</formula>
    </cfRule>
    <cfRule type="cellIs" dxfId="12" priority="32" operator="notEqual">
      <formula>$K156</formula>
    </cfRule>
  </conditionalFormatting>
  <conditionalFormatting sqref="N158:N163 N168:N172">
    <cfRule type="cellIs" dxfId="11" priority="287" operator="notEqual">
      <formula>$K158</formula>
    </cfRule>
    <cfRule type="cellIs" dxfId="10" priority="288" operator="equal">
      <formula>$K158</formula>
    </cfRule>
  </conditionalFormatting>
  <conditionalFormatting sqref="N164">
    <cfRule type="cellIs" dxfId="9" priority="23" operator="equal">
      <formula>$K164</formula>
    </cfRule>
    <cfRule type="cellIs" dxfId="8" priority="24" operator="notEqual">
      <formula>$K164</formula>
    </cfRule>
  </conditionalFormatting>
  <conditionalFormatting sqref="N166">
    <cfRule type="cellIs" dxfId="7" priority="27" operator="equal">
      <formula>$K166</formula>
    </cfRule>
    <cfRule type="cellIs" dxfId="6" priority="28" operator="notEqual">
      <formula>$K166</formula>
    </cfRule>
  </conditionalFormatting>
  <conditionalFormatting sqref="N174">
    <cfRule type="cellIs" dxfId="5" priority="20" operator="notEqual">
      <formula>$K174</formula>
    </cfRule>
    <cfRule type="cellIs" dxfId="4" priority="19" operator="equal">
      <formula>$K174</formula>
    </cfRule>
  </conditionalFormatting>
  <conditionalFormatting sqref="N176:N177">
    <cfRule type="cellIs" dxfId="3" priority="60" operator="notEqual">
      <formula>$K176</formula>
    </cfRule>
    <cfRule type="cellIs" dxfId="2" priority="59" operator="equal">
      <formula>$K176</formula>
    </cfRule>
  </conditionalFormatting>
  <conditionalFormatting sqref="N195">
    <cfRule type="cellIs" dxfId="1" priority="179" operator="equal">
      <formula>$K195</formula>
    </cfRule>
    <cfRule type="cellIs" dxfId="0" priority="180" operator="notEqual">
      <formula>$K195</formula>
    </cfRule>
  </conditionalFormatting>
  <dataValidations xWindow="1312" yWindow="753" count="3">
    <dataValidation allowBlank="1" showInputMessage="1" showErrorMessage="1" promptTitle="Empleo a jornada completa" prompt="Sólo para Proyectos Productivos. Se deberá justificar en fase de Pago. Penalización por incumplimiento: Reducción del 30 % si no crea el empleo declarado en solicitud de ayuda" sqref="H94 H82 H88" xr:uid="{1C58D62E-B6AF-491D-A232-4EE5030245C8}"/>
    <dataValidation allowBlank="1" showInputMessage="1" showErrorMessage="1" prompt="Adhesión o compromiso de adhesión a algún tipo de asociación u organización reconocida legalmente y relacionada con el objetivo del proyecto, o con sede en la zona y que tenga un objetivo general al que la solicitante pueda contribuir" sqref="E83" xr:uid="{AE53FE26-2D01-4B37-93AC-57832ACA8F45}"/>
    <dataValidation allowBlank="1" showInputMessage="1" showErrorMessage="1" prompt="Si el objetivo fundamental del proyecto es promover alguna de las temáticas enumeradas en relación con un estilo de vida saludable" sqref="D126:D134" xr:uid="{FFBAB85D-08BB-40D5-A83D-1E32E32B94F9}"/>
  </dataValidations>
  <pageMargins left="0.70866141732283472" right="0.70866141732283472" top="0.74803149606299213" bottom="0.74803149606299213" header="0.31496062992125984" footer="0.31496062992125984"/>
  <pageSetup paperSize="9" scale="39" fitToHeight="5" orientation="landscape" r:id="rId1"/>
  <rowBreaks count="5" manualBreakCount="5">
    <brk id="38" max="9" man="1"/>
    <brk id="76" max="9" man="1"/>
    <brk id="97" max="9" man="1"/>
    <brk id="125" max="9" man="1"/>
    <brk id="203" max="9" man="1"/>
  </rowBreaks>
  <extLst>
    <ext xmlns:x14="http://schemas.microsoft.com/office/spreadsheetml/2009/9/main" uri="{CCE6A557-97BC-4b89-ADB6-D9C93CAAB3DF}">
      <x14:dataValidations xmlns:xm="http://schemas.microsoft.com/office/excel/2006/main" xWindow="1312" yWindow="753" count="41">
        <x14:dataValidation type="list" allowBlank="1" showInputMessage="1" showErrorMessage="1" promptTitle="Se considera persona joven" prompt="Si no ha cumplido 36 años" xr:uid="{764E196F-438D-4F46-B4B5-2F9DA0EF1F55}">
          <x14:formula1>
            <xm:f>'Referencias NO Productivos'!$E$41:$E$43</xm:f>
          </x14:formula1>
          <xm:sqref>F14</xm:sqref>
        </x14:dataValidation>
        <x14:dataValidation type="list" allowBlank="1" showInputMessage="1" showErrorMessage="1" promptTitle="Se considera persona joven" prompt="Si no ha cumplido 36 años" xr:uid="{57319FDF-7D52-49B6-8A3E-638AC9D03A04}">
          <x14:formula1>
            <xm:f>'Referencias NO Productivos'!$E$44:$E$46</xm:f>
          </x14:formula1>
          <xm:sqref>F16</xm:sqref>
        </x14:dataValidation>
        <x14:dataValidation type="list" allowBlank="1" showInputMessage="1" showErrorMessage="1" xr:uid="{2BCA3CC8-A657-4393-B39D-BF28E4B8ACA1}">
          <x14:formula1>
            <xm:f>'Referencias NO Productivos'!$E$47:$E$49</xm:f>
          </x14:formula1>
          <xm:sqref>F20</xm:sqref>
        </x14:dataValidation>
        <x14:dataValidation type="list" allowBlank="1" showInputMessage="1" showErrorMessage="1" xr:uid="{5C40333A-4CF0-4602-900D-A56F2A8A9E7B}">
          <x14:formula1>
            <xm:f>'Referencias NO Productivos'!$E$50:$E$52</xm:f>
          </x14:formula1>
          <xm:sqref>F22</xm:sqref>
        </x14:dataValidation>
        <x14:dataValidation type="list" allowBlank="1" showInputMessage="1" showErrorMessage="1" xr:uid="{3E63C3C3-7133-42A6-A8DC-24A7D2474FE3}">
          <x14:formula1>
            <xm:f>'Referencias NO Productivos'!$E$56:$E$58</xm:f>
          </x14:formula1>
          <xm:sqref>F28</xm:sqref>
        </x14:dataValidation>
        <x14:dataValidation type="list" allowBlank="1" showInputMessage="1" showErrorMessage="1" xr:uid="{74EFACDE-F4AC-41E2-B03E-5F44272D18E9}">
          <x14:formula1>
            <xm:f>'Referencias NO Productivos'!$E$59:$E$62</xm:f>
          </x14:formula1>
          <xm:sqref>F32</xm:sqref>
        </x14:dataValidation>
        <x14:dataValidation type="list" allowBlank="1" showInputMessage="1" showErrorMessage="1" xr:uid="{1DFBDA8B-D357-45F8-B7FD-CCB3A23EA652}">
          <x14:formula1>
            <xm:f>'Referencias NO Productivos'!$B$7:$B$35</xm:f>
          </x14:formula1>
          <xm:sqref>I40</xm:sqref>
        </x14:dataValidation>
        <x14:dataValidation type="list" allowBlank="1" showInputMessage="1" showErrorMessage="1" prompt="Satisface una necesidad no cubierta con los recursos o servicios existentes" xr:uid="{920179D8-6810-4480-91C2-356FCE1BC74A}">
          <x14:formula1>
            <xm:f>'Referencias NO Productivos'!$E$66:$E$67</xm:f>
          </x14:formula1>
          <xm:sqref>F79</xm:sqref>
        </x14:dataValidation>
        <x14:dataValidation type="list" allowBlank="1" showInputMessage="1" showErrorMessage="1" prompt="No se considerarán puntuables las adhesiones a asociaciones empresariales ni a Consorcio EDER" xr:uid="{D93FF807-DE6B-4B61-9CE5-384E42673692}">
          <x14:formula1>
            <xm:f>'Referencias NO Productivos'!$E$68:$E$70</xm:f>
          </x14:formula1>
          <xm:sqref>F83</xm:sqref>
        </x14:dataValidation>
        <x14:dataValidation type="list" allowBlank="1" showInputMessage="1" showErrorMessage="1" xr:uid="{052126B8-B687-4BEE-BC9B-754AD7A57AF7}">
          <x14:formula1>
            <xm:f>'Referencias NO Productivos'!$E$71:$E$72</xm:f>
          </x14:formula1>
          <xm:sqref>F85</xm:sqref>
        </x14:dataValidation>
        <x14:dataValidation type="list" allowBlank="1" showInputMessage="1" showErrorMessage="1" xr:uid="{D23C7B27-E1ED-4CA7-96D5-691017C7B00C}">
          <x14:formula1>
            <xm:f>'Referencias NO Productivos'!$E$73:$E$76</xm:f>
          </x14:formula1>
          <xm:sqref>F89</xm:sqref>
        </x14:dataValidation>
        <x14:dataValidation type="list" allowBlank="1" showInputMessage="1" showErrorMessage="1" xr:uid="{04CAE06B-6840-40DE-8B71-907B6D66C9F4}">
          <x14:formula1>
            <xm:f>'Referencias NO Productivos'!$E$77:$E$79</xm:f>
          </x14:formula1>
          <xm:sqref>F91</xm:sqref>
        </x14:dataValidation>
        <x14:dataValidation type="list" allowBlank="1" showInputMessage="1" showErrorMessage="1" xr:uid="{4C2E1366-212C-419E-92E2-60E294F7240F}">
          <x14:formula1>
            <xm:f>'Referencias NO Productivos'!$E$91:$E$92</xm:f>
          </x14:formula1>
          <xm:sqref>F100</xm:sqref>
        </x14:dataValidation>
        <x14:dataValidation type="list" allowBlank="1" showInputMessage="1" showErrorMessage="1" xr:uid="{3C09F35F-13FE-4526-8B83-7FC8F432FD81}">
          <x14:formula1>
            <xm:f>'Referencias NO Productivos'!$E$93:$E$94</xm:f>
          </x14:formula1>
          <xm:sqref>F102</xm:sqref>
        </x14:dataValidation>
        <x14:dataValidation type="list" allowBlank="1" showInputMessage="1" showErrorMessage="1" xr:uid="{127F7825-1F58-4496-9DF1-AB305870D734}">
          <x14:formula1>
            <xm:f>'Referencias NO Productivos'!$E$97:$E$98</xm:f>
          </x14:formula1>
          <xm:sqref>F106</xm:sqref>
        </x14:dataValidation>
        <x14:dataValidation type="list" allowBlank="1" showInputMessage="1" showErrorMessage="1" xr:uid="{3FC222DA-055D-43AC-BC4D-7080E0C4FA16}">
          <x14:formula1>
            <xm:f>'Referencias NO Productivos'!$E$99:$E$100</xm:f>
          </x14:formula1>
          <xm:sqref>F110</xm:sqref>
        </x14:dataValidation>
        <x14:dataValidation type="list" allowBlank="1" showInputMessage="1" showErrorMessage="1" xr:uid="{82063821-D366-400C-97BC-916BCC91C2EB}">
          <x14:formula1>
            <xm:f>'Referencias NO Productivos'!$E$101:$E$102</xm:f>
          </x14:formula1>
          <xm:sqref>F112</xm:sqref>
        </x14:dataValidation>
        <x14:dataValidation type="list" allowBlank="1" showInputMessage="1" showErrorMessage="1" xr:uid="{40F75231-4365-449E-85D6-3FAF395D6722}">
          <x14:formula1>
            <xm:f>'Referencias NO Productivos'!$E$103:$E$104</xm:f>
          </x14:formula1>
          <xm:sqref>F114</xm:sqref>
        </x14:dataValidation>
        <x14:dataValidation type="list" allowBlank="1" showInputMessage="1" showErrorMessage="1" xr:uid="{04B8DE21-F2FC-4C7C-B772-1FE0E9D249BF}">
          <x14:formula1>
            <xm:f>'Referencias NO Productivos'!$E$105:$E$106</xm:f>
          </x14:formula1>
          <xm:sqref>F116</xm:sqref>
        </x14:dataValidation>
        <x14:dataValidation type="list" allowBlank="1" showInputMessage="1" showErrorMessage="1" xr:uid="{99B795E8-354F-4CF5-BB27-8C4A9D128F45}">
          <x14:formula1>
            <xm:f>'Referencias NO Productivos'!$E$109:$E$110</xm:f>
          </x14:formula1>
          <xm:sqref>F126</xm:sqref>
        </x14:dataValidation>
        <x14:dataValidation type="list" allowBlank="1" showInputMessage="1" showErrorMessage="1" xr:uid="{C72923D7-D656-49BB-BFA2-D41AFABAC736}">
          <x14:formula1>
            <xm:f>'Referencias NO Productivos'!$E$111:$E$112</xm:f>
          </x14:formula1>
          <xm:sqref>F128</xm:sqref>
        </x14:dataValidation>
        <x14:dataValidation type="list" allowBlank="1" showInputMessage="1" showErrorMessage="1" xr:uid="{61ECD17D-DEF6-40F9-9556-884F488B737A}">
          <x14:formula1>
            <xm:f>'Referencias NO Productivos'!$E$113:$E$114</xm:f>
          </x14:formula1>
          <xm:sqref>F130</xm:sqref>
        </x14:dataValidation>
        <x14:dataValidation type="list" allowBlank="1" showInputMessage="1" showErrorMessage="1" xr:uid="{6730110B-9C42-495B-BA66-59DF66E6C518}">
          <x14:formula1>
            <xm:f>'Referencias NO Productivos'!$E$115:$E$116</xm:f>
          </x14:formula1>
          <xm:sqref>F132</xm:sqref>
        </x14:dataValidation>
        <x14:dataValidation type="list" allowBlank="1" showInputMessage="1" showErrorMessage="1" xr:uid="{1517B88B-8954-4BCC-8DB7-852DBDBC537E}">
          <x14:formula1>
            <xm:f>'Referencias NO Productivos'!$E$117:$E$118</xm:f>
          </x14:formula1>
          <xm:sqref>F134</xm:sqref>
        </x14:dataValidation>
        <x14:dataValidation type="list" allowBlank="1" showInputMessage="1" showErrorMessage="1" xr:uid="{7DA2CFF3-E366-49A0-88E3-931809512702}">
          <x14:formula1>
            <xm:f>'Referencias NO Productivos'!$E$107:$E$108</xm:f>
          </x14:formula1>
          <xm:sqref>F120</xm:sqref>
        </x14:dataValidation>
        <x14:dataValidation type="list" allowBlank="1" showInputMessage="1" showErrorMessage="1" xr:uid="{CD104CE3-D46D-48AC-83EF-459F60C35647}">
          <x14:formula1>
            <xm:f>'Referencias NO Productivos'!$E$119:$E$120</xm:f>
          </x14:formula1>
          <xm:sqref>F138</xm:sqref>
        </x14:dataValidation>
        <x14:dataValidation type="list" allowBlank="1" showInputMessage="1" showErrorMessage="1" xr:uid="{795BE47C-0436-401E-A518-2EE70B97F9F8}">
          <x14:formula1>
            <xm:f>'Referencias NO Productivos'!$E$121:$E$122</xm:f>
          </x14:formula1>
          <xm:sqref>F140</xm:sqref>
        </x14:dataValidation>
        <x14:dataValidation type="list" allowBlank="1" showInputMessage="1" showErrorMessage="1" xr:uid="{AAEE6C5D-4003-4168-88E7-0CE06B77B309}">
          <x14:formula1>
            <xm:f>'Referencias NO Productivos'!$E$123:$E$124</xm:f>
          </x14:formula1>
          <xm:sqref>F142</xm:sqref>
        </x14:dataValidation>
        <x14:dataValidation type="list" allowBlank="1" showInputMessage="1" showErrorMessage="1" xr:uid="{1AAB6F88-C87F-4177-B992-8455D96F140A}">
          <x14:formula1>
            <xm:f>'Referencias NO Productivos'!$E$125:$E$126</xm:f>
          </x14:formula1>
          <xm:sqref>F144</xm:sqref>
        </x14:dataValidation>
        <x14:dataValidation type="list" allowBlank="1" showInputMessage="1" showErrorMessage="1" xr:uid="{12486573-0123-47BC-BB2B-0F9E06A52C1E}">
          <x14:formula1>
            <xm:f>'Referencias NO Productivos'!$E$127:$E$128</xm:f>
          </x14:formula1>
          <xm:sqref>F146</xm:sqref>
        </x14:dataValidation>
        <x14:dataValidation type="list" allowBlank="1" showInputMessage="1" showErrorMessage="1" xr:uid="{644933FF-3644-43CC-8281-23CC2EEDC00C}">
          <x14:formula1>
            <xm:f>'Referencias NO Productivos'!$E$129:$E$130</xm:f>
          </x14:formula1>
          <xm:sqref>F148</xm:sqref>
        </x14:dataValidation>
        <x14:dataValidation type="list" allowBlank="1" showInputMessage="1" showErrorMessage="1" xr:uid="{F71FB85F-2DBB-468D-BD72-27DA0724BE50}">
          <x14:formula1>
            <xm:f>'Referencias NO Productivos'!$E$131:$E$132</xm:f>
          </x14:formula1>
          <xm:sqref>F150</xm:sqref>
        </x14:dataValidation>
        <x14:dataValidation type="list" allowBlank="1" showInputMessage="1" showErrorMessage="1" xr:uid="{BE3BB0BF-B8FC-4A0A-88CE-3F924406F36E}">
          <x14:formula1>
            <xm:f>'Referencias NO Productivos'!$E$133:$E$134</xm:f>
          </x14:formula1>
          <xm:sqref>F152</xm:sqref>
        </x14:dataValidation>
        <x14:dataValidation type="list" allowBlank="1" showInputMessage="1" showErrorMessage="1" xr:uid="{382EFDA2-14DB-4432-B5E6-8E6262AD7FCD}">
          <x14:formula1>
            <xm:f>'Referencias NO Productivos'!$E$135:$E$136</xm:f>
          </x14:formula1>
          <xm:sqref>F154</xm:sqref>
        </x14:dataValidation>
        <x14:dataValidation type="list" allowBlank="1" showInputMessage="1" showErrorMessage="1" xr:uid="{CFEB3374-B84B-4856-BA80-A641619A2770}">
          <x14:formula1>
            <xm:f>'Referencias NO Productivos'!$E$141:$E$142</xm:f>
          </x14:formula1>
          <xm:sqref>F162</xm:sqref>
        </x14:dataValidation>
        <x14:dataValidation type="list" allowBlank="1" showInputMessage="1" showErrorMessage="1" promptTitle="Calificación del inmueble" prompt="En solicitud de ayuda, se deberá justificar la calificación del bien inmueble sobre el que se va a actuar, sobre el certificado o documento correspondiente." xr:uid="{C1AE549E-743A-4764-83D3-BF16E455C0F2}">
          <x14:formula1>
            <xm:f>'Referencias NO Productivos'!$E$143:$E$144</xm:f>
          </x14:formula1>
          <xm:sqref>F168</xm:sqref>
        </x14:dataValidation>
        <x14:dataValidation type="list" allowBlank="1" showInputMessage="1" showErrorMessage="1" xr:uid="{B9AF173B-4C14-46DA-A3B3-1B9AEFC0162A}">
          <x14:formula1>
            <xm:f>'Referencias NO Productivos'!$E$147:$E$148</xm:f>
          </x14:formula1>
          <xm:sqref>F172</xm:sqref>
        </x14:dataValidation>
        <x14:dataValidation type="list" allowBlank="1" showInputMessage="1" showErrorMessage="1" xr:uid="{40784E3E-18F1-4D61-ADC8-921B35ADFFEB}">
          <x14:formula1>
            <xm:f>'Referencias NO Productivos'!$E$53:$E$55</xm:f>
          </x14:formula1>
          <xm:sqref>F26</xm:sqref>
        </x14:dataValidation>
        <x14:dataValidation type="list" allowBlank="1" showInputMessage="1" showErrorMessage="1" xr:uid="{59C24976-BA3C-4C56-9D98-4718A17BD915}">
          <x14:formula1>
            <xm:f>'Referencias NO Productivos'!$E$137:$E$138</xm:f>
          </x14:formula1>
          <xm:sqref>F158</xm:sqref>
        </x14:dataValidation>
        <x14:dataValidation type="list" allowBlank="1" showInputMessage="1" showErrorMessage="1" xr:uid="{B2E6B4E5-40FF-43E6-A1F4-C92EB594C6E9}">
          <x14:formula1>
            <xm:f>'Referencias NO Productivos'!$E$139:$E$140</xm:f>
          </x14:formula1>
          <xm:sqref>F160</xm:sqref>
        </x14:dataValidation>
        <x14:dataValidation type="list" allowBlank="1" showInputMessage="1" showErrorMessage="1" xr:uid="{A90EAF56-2927-44DF-964A-799C46F64C35}">
          <x14:formula1>
            <xm:f>'Referencias NO Productivos'!$E$145:$E$146</xm:f>
          </x14:formula1>
          <xm:sqref>F170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C22F4-ECAF-4AE4-9F42-102DA5F3F933}">
  <dimension ref="A2:AK148"/>
  <sheetViews>
    <sheetView topLeftCell="F13" workbookViewId="0">
      <selection activeCell="P31" sqref="P31"/>
    </sheetView>
  </sheetViews>
  <sheetFormatPr baseColWidth="10" defaultRowHeight="14.4" x14ac:dyDescent="0.3"/>
  <cols>
    <col min="2" max="2" width="16.5546875" customWidth="1"/>
    <col min="3" max="3" width="24.88671875" customWidth="1"/>
    <col min="4" max="4" width="23.88671875" customWidth="1"/>
    <col min="5" max="5" width="23.6640625" customWidth="1"/>
    <col min="6" max="6" width="13.33203125" bestFit="1" customWidth="1"/>
    <col min="7" max="7" width="9.5546875" customWidth="1"/>
    <col min="8" max="8" width="6" customWidth="1"/>
    <col min="9" max="9" width="8.5546875" customWidth="1"/>
    <col min="10" max="10" width="8.109375" customWidth="1"/>
    <col min="11" max="11" width="6.5546875" customWidth="1"/>
    <col min="12" max="12" width="7.5546875" customWidth="1"/>
    <col min="13" max="14" width="7.88671875" customWidth="1"/>
    <col min="15" max="15" width="9.5546875" bestFit="1" customWidth="1"/>
    <col min="16" max="16" width="6.5546875" customWidth="1"/>
    <col min="17" max="17" width="6.44140625" customWidth="1"/>
    <col min="18" max="18" width="16.44140625" customWidth="1"/>
    <col min="19" max="19" width="8" customWidth="1"/>
    <col min="20" max="20" width="7.44140625" customWidth="1"/>
    <col min="21" max="21" width="6.88671875" customWidth="1"/>
    <col min="22" max="22" width="7.44140625" customWidth="1"/>
    <col min="23" max="23" width="7.5546875" customWidth="1"/>
    <col min="24" max="24" width="10.33203125" customWidth="1"/>
    <col min="25" max="25" width="6.5546875" customWidth="1"/>
    <col min="26" max="26" width="6.88671875" customWidth="1"/>
    <col min="27" max="27" width="8" customWidth="1"/>
    <col min="28" max="28" width="8.5546875" customWidth="1"/>
    <col min="29" max="29" width="9.5546875" customWidth="1"/>
    <col min="30" max="30" width="7.6640625" customWidth="1"/>
    <col min="31" max="31" width="9.109375" style="26" bestFit="1" customWidth="1"/>
    <col min="32" max="32" width="10.44140625" customWidth="1"/>
    <col min="33" max="33" width="7.33203125" customWidth="1"/>
    <col min="34" max="34" width="9.109375" style="42" bestFit="1" customWidth="1"/>
    <col min="35" max="36" width="8.33203125" bestFit="1" customWidth="1"/>
  </cols>
  <sheetData>
    <row r="2" spans="2:37" x14ac:dyDescent="0.3">
      <c r="B2" s="3"/>
    </row>
    <row r="3" spans="2:37" ht="15" thickBot="1" x14ac:dyDescent="0.35">
      <c r="D3" s="4"/>
      <c r="F3" s="4"/>
      <c r="H3" s="4"/>
      <c r="J3" s="4"/>
      <c r="L3" s="4"/>
      <c r="N3" s="4"/>
      <c r="P3" s="4"/>
      <c r="AB3" s="4"/>
    </row>
    <row r="4" spans="2:37" s="5" customFormat="1" ht="15.75" customHeight="1" thickBot="1" x14ac:dyDescent="0.35">
      <c r="B4" s="371" t="s">
        <v>181</v>
      </c>
      <c r="C4" s="365" t="s">
        <v>151</v>
      </c>
      <c r="D4" s="366"/>
      <c r="E4" s="363" t="s">
        <v>152</v>
      </c>
      <c r="F4" s="364"/>
      <c r="G4" s="365" t="s">
        <v>153</v>
      </c>
      <c r="H4" s="366"/>
      <c r="I4" s="365" t="s">
        <v>154</v>
      </c>
      <c r="J4" s="366"/>
      <c r="K4" s="363" t="s">
        <v>155</v>
      </c>
      <c r="L4" s="364"/>
      <c r="M4" s="365" t="s">
        <v>156</v>
      </c>
      <c r="N4" s="366"/>
      <c r="O4" s="365" t="s">
        <v>157</v>
      </c>
      <c r="P4" s="366"/>
      <c r="Q4" s="363" t="s">
        <v>158</v>
      </c>
      <c r="R4" s="364"/>
      <c r="S4" s="365" t="s">
        <v>159</v>
      </c>
      <c r="T4" s="366"/>
      <c r="U4" s="365" t="s">
        <v>160</v>
      </c>
      <c r="V4" s="366"/>
      <c r="W4" s="365" t="s">
        <v>161</v>
      </c>
      <c r="X4" s="366"/>
      <c r="Y4" s="44" t="s">
        <v>182</v>
      </c>
      <c r="Z4" s="365" t="s">
        <v>162</v>
      </c>
      <c r="AA4" s="366"/>
      <c r="AB4" s="365" t="s">
        <v>163</v>
      </c>
      <c r="AC4" s="366"/>
      <c r="AD4" s="383" t="s">
        <v>164</v>
      </c>
      <c r="AE4" s="384"/>
      <c r="AF4" s="45" t="s">
        <v>183</v>
      </c>
      <c r="AG4" s="385" t="s">
        <v>23</v>
      </c>
      <c r="AH4" s="43"/>
      <c r="AI4" s="28"/>
      <c r="AJ4" s="28"/>
    </row>
    <row r="5" spans="2:37" s="15" customFormat="1" ht="42" customHeight="1" thickBot="1" x14ac:dyDescent="0.35">
      <c r="B5" s="372"/>
      <c r="C5" s="365" t="s">
        <v>184</v>
      </c>
      <c r="D5" s="366"/>
      <c r="E5" s="363" t="s">
        <v>185</v>
      </c>
      <c r="F5" s="364"/>
      <c r="G5" s="365" t="s">
        <v>186</v>
      </c>
      <c r="H5" s="366"/>
      <c r="I5" s="365" t="s">
        <v>187</v>
      </c>
      <c r="J5" s="366"/>
      <c r="K5" s="363" t="s">
        <v>188</v>
      </c>
      <c r="L5" s="364"/>
      <c r="M5" s="365" t="s">
        <v>189</v>
      </c>
      <c r="N5" s="366"/>
      <c r="O5" s="365" t="s">
        <v>190</v>
      </c>
      <c r="P5" s="366"/>
      <c r="Q5" s="363" t="s">
        <v>191</v>
      </c>
      <c r="R5" s="364"/>
      <c r="S5" s="365" t="s">
        <v>192</v>
      </c>
      <c r="T5" s="366"/>
      <c r="U5" s="365" t="s">
        <v>193</v>
      </c>
      <c r="V5" s="366"/>
      <c r="W5" s="365" t="s">
        <v>194</v>
      </c>
      <c r="X5" s="366"/>
      <c r="Y5" s="388" t="s">
        <v>195</v>
      </c>
      <c r="Z5" s="365" t="s">
        <v>196</v>
      </c>
      <c r="AA5" s="366"/>
      <c r="AB5" s="365" t="s">
        <v>197</v>
      </c>
      <c r="AC5" s="366"/>
      <c r="AD5" s="383" t="s">
        <v>198</v>
      </c>
      <c r="AE5" s="384"/>
      <c r="AF5" s="388" t="s">
        <v>199</v>
      </c>
      <c r="AG5" s="386"/>
      <c r="AH5" s="29"/>
      <c r="AI5" s="29"/>
      <c r="AJ5" s="30"/>
    </row>
    <row r="6" spans="2:37" ht="231.6" thickBot="1" x14ac:dyDescent="0.35">
      <c r="B6" s="373"/>
      <c r="C6" s="46" t="s">
        <v>184</v>
      </c>
      <c r="D6" s="47" t="s">
        <v>200</v>
      </c>
      <c r="E6" s="48" t="s">
        <v>185</v>
      </c>
      <c r="F6" s="49" t="s">
        <v>201</v>
      </c>
      <c r="G6" s="50" t="s">
        <v>186</v>
      </c>
      <c r="H6" s="51" t="s">
        <v>202</v>
      </c>
      <c r="I6" s="52" t="s">
        <v>187</v>
      </c>
      <c r="J6" s="49" t="s">
        <v>203</v>
      </c>
      <c r="K6" s="47" t="s">
        <v>204</v>
      </c>
      <c r="L6" s="49" t="s">
        <v>205</v>
      </c>
      <c r="M6" s="50" t="s">
        <v>206</v>
      </c>
      <c r="N6" s="51" t="s">
        <v>207</v>
      </c>
      <c r="O6" s="52" t="s">
        <v>190</v>
      </c>
      <c r="P6" s="49" t="s">
        <v>208</v>
      </c>
      <c r="Q6" s="46" t="s">
        <v>191</v>
      </c>
      <c r="R6" s="49" t="s">
        <v>209</v>
      </c>
      <c r="S6" s="53" t="s">
        <v>210</v>
      </c>
      <c r="T6" s="49" t="s">
        <v>211</v>
      </c>
      <c r="U6" s="54" t="s">
        <v>212</v>
      </c>
      <c r="V6" s="55" t="s">
        <v>213</v>
      </c>
      <c r="W6" s="54" t="s">
        <v>214</v>
      </c>
      <c r="X6" s="55" t="s">
        <v>215</v>
      </c>
      <c r="Y6" s="389"/>
      <c r="Z6" s="46" t="s">
        <v>216</v>
      </c>
      <c r="AA6" s="49" t="s">
        <v>217</v>
      </c>
      <c r="AB6" s="47" t="s">
        <v>218</v>
      </c>
      <c r="AC6" s="49" t="s">
        <v>219</v>
      </c>
      <c r="AD6" s="54" t="s">
        <v>220</v>
      </c>
      <c r="AE6" s="55" t="s">
        <v>221</v>
      </c>
      <c r="AF6" s="389"/>
      <c r="AG6" s="387"/>
      <c r="AH6" s="31"/>
      <c r="AI6" s="31"/>
      <c r="AJ6" s="32"/>
    </row>
    <row r="7" spans="2:37" x14ac:dyDescent="0.3">
      <c r="B7" s="56" t="s">
        <v>222</v>
      </c>
      <c r="C7" s="57">
        <v>2484</v>
      </c>
      <c r="D7" s="58">
        <v>1</v>
      </c>
      <c r="E7" s="59">
        <v>0.94484594903004948</v>
      </c>
      <c r="F7" s="58">
        <v>0.75</v>
      </c>
      <c r="G7" s="58">
        <v>32.093023255813954</v>
      </c>
      <c r="H7" s="58">
        <v>0.5</v>
      </c>
      <c r="I7" s="60">
        <v>0.13083735909822866</v>
      </c>
      <c r="J7" s="58">
        <v>1</v>
      </c>
      <c r="K7" s="58">
        <v>28.5</v>
      </c>
      <c r="L7" s="58">
        <v>1.25</v>
      </c>
      <c r="M7" s="58">
        <v>103.10711365494684</v>
      </c>
      <c r="N7" s="58">
        <v>1</v>
      </c>
      <c r="O7" s="60">
        <v>0.1388888888888889</v>
      </c>
      <c r="P7" s="58">
        <v>1</v>
      </c>
      <c r="Q7" s="57">
        <v>11.76</v>
      </c>
      <c r="R7" s="58">
        <v>1.75</v>
      </c>
      <c r="S7" s="60">
        <v>0.3946348631239936</v>
      </c>
      <c r="T7" s="58">
        <v>1.25</v>
      </c>
      <c r="U7" s="60">
        <v>0.38717793880837359</v>
      </c>
      <c r="V7" s="58">
        <v>1.75</v>
      </c>
      <c r="W7" s="60">
        <v>8.307238902191931E-2</v>
      </c>
      <c r="X7" s="58">
        <v>0.5</v>
      </c>
      <c r="Y7" s="58">
        <v>11.75</v>
      </c>
      <c r="Z7" s="57" t="s">
        <v>223</v>
      </c>
      <c r="AA7" s="58">
        <v>0.25</v>
      </c>
      <c r="AB7" s="58">
        <v>15.954311633917905</v>
      </c>
      <c r="AC7" s="58">
        <v>1.5</v>
      </c>
      <c r="AD7" s="60">
        <v>0.39625322997416018</v>
      </c>
      <c r="AE7" s="58">
        <v>3.25</v>
      </c>
      <c r="AF7" s="58">
        <v>5</v>
      </c>
      <c r="AG7" s="61">
        <v>16.75</v>
      </c>
      <c r="AH7" s="31"/>
      <c r="AI7" s="31"/>
      <c r="AJ7" s="32"/>
      <c r="AK7" s="33"/>
    </row>
    <row r="8" spans="2:37" x14ac:dyDescent="0.3">
      <c r="B8" s="62" t="s">
        <v>224</v>
      </c>
      <c r="C8" s="6">
        <v>2287</v>
      </c>
      <c r="D8" s="63">
        <v>1</v>
      </c>
      <c r="E8" s="64">
        <v>0.96092436974789919</v>
      </c>
      <c r="F8" s="63">
        <v>0.75</v>
      </c>
      <c r="G8" s="63">
        <v>34.442771084337345</v>
      </c>
      <c r="H8" s="63">
        <v>0.5</v>
      </c>
      <c r="I8" s="65">
        <v>0.14516834280717097</v>
      </c>
      <c r="J8" s="63">
        <v>1</v>
      </c>
      <c r="K8" s="63">
        <v>29.2</v>
      </c>
      <c r="L8" s="63">
        <v>1.25</v>
      </c>
      <c r="M8" s="63">
        <v>105.66546762589928</v>
      </c>
      <c r="N8" s="63">
        <v>1</v>
      </c>
      <c r="O8" s="65">
        <v>0.15566243987756886</v>
      </c>
      <c r="P8" s="63">
        <v>1.5</v>
      </c>
      <c r="Q8" s="6">
        <v>9.31</v>
      </c>
      <c r="R8" s="63">
        <v>1</v>
      </c>
      <c r="S8" s="65">
        <v>0.3980355050284215</v>
      </c>
      <c r="T8" s="63">
        <v>1.25</v>
      </c>
      <c r="U8" s="65">
        <v>0.44490599038041101</v>
      </c>
      <c r="V8" s="63">
        <v>1.5</v>
      </c>
      <c r="W8" s="65">
        <v>0.13979505499670958</v>
      </c>
      <c r="X8" s="63">
        <v>1</v>
      </c>
      <c r="Y8" s="63">
        <v>11.75</v>
      </c>
      <c r="Z8" s="6" t="s">
        <v>225</v>
      </c>
      <c r="AA8" s="63">
        <v>0</v>
      </c>
      <c r="AB8" s="63">
        <v>13.406559864162986</v>
      </c>
      <c r="AC8" s="63">
        <v>1.5</v>
      </c>
      <c r="AD8" s="65">
        <v>0.48554216867469879</v>
      </c>
      <c r="AE8" s="63">
        <v>3.25</v>
      </c>
      <c r="AF8" s="63">
        <v>4.75</v>
      </c>
      <c r="AG8" s="66">
        <v>16.5</v>
      </c>
      <c r="AH8" s="31"/>
      <c r="AI8" s="31"/>
      <c r="AJ8" s="32"/>
      <c r="AK8" s="33"/>
    </row>
    <row r="9" spans="2:37" x14ac:dyDescent="0.3">
      <c r="B9" s="62" t="s">
        <v>226</v>
      </c>
      <c r="C9" s="6">
        <v>3840</v>
      </c>
      <c r="D9" s="63">
        <v>0.75</v>
      </c>
      <c r="E9" s="64">
        <v>0.99792099792099798</v>
      </c>
      <c r="F9" s="63">
        <v>0.75</v>
      </c>
      <c r="G9" s="63">
        <v>115.31531531531533</v>
      </c>
      <c r="H9" s="63">
        <v>0.25</v>
      </c>
      <c r="I9" s="65">
        <v>0.15963541666666667</v>
      </c>
      <c r="J9" s="63">
        <v>0.75</v>
      </c>
      <c r="K9" s="63">
        <v>26.2</v>
      </c>
      <c r="L9" s="63">
        <v>1.25</v>
      </c>
      <c r="M9" s="63">
        <v>102.31822971548998</v>
      </c>
      <c r="N9" s="63">
        <v>1</v>
      </c>
      <c r="O9" s="65">
        <v>0.18281249999999999</v>
      </c>
      <c r="P9" s="63">
        <v>1.5</v>
      </c>
      <c r="Q9" s="6">
        <v>7.43</v>
      </c>
      <c r="R9" s="63">
        <v>1</v>
      </c>
      <c r="S9" s="65">
        <v>0.42823320312499996</v>
      </c>
      <c r="T9" s="63">
        <v>1</v>
      </c>
      <c r="U9" s="65">
        <v>0.54010416666666672</v>
      </c>
      <c r="V9" s="63">
        <v>1.5</v>
      </c>
      <c r="W9" s="65">
        <v>0.15957853360266416</v>
      </c>
      <c r="X9" s="63">
        <v>1</v>
      </c>
      <c r="Y9" s="63">
        <v>10.75</v>
      </c>
      <c r="Z9" s="6" t="s">
        <v>225</v>
      </c>
      <c r="AA9" s="63">
        <v>0</v>
      </c>
      <c r="AB9" s="63">
        <v>34.280946355063008</v>
      </c>
      <c r="AC9" s="63">
        <v>1.5</v>
      </c>
      <c r="AD9" s="65">
        <v>0</v>
      </c>
      <c r="AE9" s="63">
        <v>2.25</v>
      </c>
      <c r="AF9" s="63">
        <v>3.75</v>
      </c>
      <c r="AG9" s="66">
        <v>14.5</v>
      </c>
      <c r="AH9" s="31"/>
      <c r="AI9" s="31"/>
      <c r="AJ9" s="32"/>
      <c r="AK9" s="33"/>
    </row>
    <row r="10" spans="2:37" x14ac:dyDescent="0.3">
      <c r="B10" s="62" t="s">
        <v>227</v>
      </c>
      <c r="C10" s="6">
        <v>221</v>
      </c>
      <c r="D10" s="63">
        <v>1.5</v>
      </c>
      <c r="E10" s="64">
        <v>1.1693121693121693</v>
      </c>
      <c r="F10" s="63">
        <v>0</v>
      </c>
      <c r="G10" s="63">
        <v>73.666666666666671</v>
      </c>
      <c r="H10" s="63">
        <v>0.25</v>
      </c>
      <c r="I10" s="65">
        <v>0.15837104072398189</v>
      </c>
      <c r="J10" s="63">
        <v>0.75</v>
      </c>
      <c r="K10" s="63">
        <v>30.3</v>
      </c>
      <c r="L10" s="63">
        <v>1.5</v>
      </c>
      <c r="M10" s="63">
        <v>121</v>
      </c>
      <c r="N10" s="63">
        <v>1</v>
      </c>
      <c r="O10" s="65">
        <v>0.10407239819004525</v>
      </c>
      <c r="P10" s="63">
        <v>1</v>
      </c>
      <c r="Q10" s="6">
        <v>13.4</v>
      </c>
      <c r="R10" s="63">
        <v>1.75</v>
      </c>
      <c r="S10" s="65">
        <v>0.3461864253393665</v>
      </c>
      <c r="T10" s="63">
        <v>1.5</v>
      </c>
      <c r="U10" s="65">
        <v>0.27714932126696834</v>
      </c>
      <c r="V10" s="63">
        <v>2</v>
      </c>
      <c r="W10" s="65">
        <v>5.7471264367816098E-2</v>
      </c>
      <c r="X10" s="63">
        <v>0.5</v>
      </c>
      <c r="Y10" s="63">
        <v>11.75</v>
      </c>
      <c r="Z10" s="6" t="s">
        <v>225</v>
      </c>
      <c r="AA10" s="63">
        <v>0</v>
      </c>
      <c r="AB10" s="63">
        <v>17.692900910465802</v>
      </c>
      <c r="AC10" s="63">
        <v>1.5</v>
      </c>
      <c r="AD10" s="65">
        <v>0</v>
      </c>
      <c r="AE10" s="63">
        <v>2.25</v>
      </c>
      <c r="AF10" s="63">
        <v>3.75</v>
      </c>
      <c r="AG10" s="66">
        <v>15.5</v>
      </c>
      <c r="AH10" s="31"/>
      <c r="AI10" s="31"/>
      <c r="AJ10" s="32"/>
      <c r="AK10" s="33"/>
    </row>
    <row r="11" spans="2:37" x14ac:dyDescent="0.3">
      <c r="B11" s="62" t="s">
        <v>228</v>
      </c>
      <c r="C11" s="6">
        <v>2195</v>
      </c>
      <c r="D11" s="63">
        <v>1</v>
      </c>
      <c r="E11" s="64">
        <v>0.92033542976939209</v>
      </c>
      <c r="F11" s="63">
        <v>0.75</v>
      </c>
      <c r="G11" s="63">
        <v>60.635359116022094</v>
      </c>
      <c r="H11" s="63">
        <v>0.25</v>
      </c>
      <c r="I11" s="65">
        <v>0.11890660592255126</v>
      </c>
      <c r="J11" s="63">
        <v>1</v>
      </c>
      <c r="K11" s="63">
        <v>32.1</v>
      </c>
      <c r="L11" s="63">
        <v>1.5</v>
      </c>
      <c r="M11" s="63">
        <v>96.157283288650589</v>
      </c>
      <c r="N11" s="63">
        <v>0.75</v>
      </c>
      <c r="O11" s="65">
        <v>0.10888382687927108</v>
      </c>
      <c r="P11" s="63">
        <v>1</v>
      </c>
      <c r="Q11" s="6">
        <v>9.5399999999999991</v>
      </c>
      <c r="R11" s="63">
        <v>1</v>
      </c>
      <c r="S11" s="65">
        <v>0.3932947608200455</v>
      </c>
      <c r="T11" s="63">
        <v>1.25</v>
      </c>
      <c r="U11" s="65">
        <v>0.38257403189066058</v>
      </c>
      <c r="V11" s="63">
        <v>1.75</v>
      </c>
      <c r="W11" s="65">
        <v>0.1533529535421484</v>
      </c>
      <c r="X11" s="63">
        <v>1</v>
      </c>
      <c r="Y11" s="63">
        <v>11.25</v>
      </c>
      <c r="Z11" s="6" t="s">
        <v>225</v>
      </c>
      <c r="AA11" s="63">
        <v>0</v>
      </c>
      <c r="AB11" s="63">
        <v>20.707634014120305</v>
      </c>
      <c r="AC11" s="63">
        <v>1.5</v>
      </c>
      <c r="AD11" s="65">
        <v>5.8839779005524853E-2</v>
      </c>
      <c r="AE11" s="63">
        <v>2.25</v>
      </c>
      <c r="AF11" s="63">
        <v>3.75</v>
      </c>
      <c r="AG11" s="66">
        <v>15</v>
      </c>
      <c r="AH11" s="31"/>
      <c r="AI11" s="31"/>
      <c r="AJ11" s="32"/>
      <c r="AK11" s="33"/>
    </row>
    <row r="12" spans="2:37" x14ac:dyDescent="0.3">
      <c r="B12" s="62" t="s">
        <v>229</v>
      </c>
      <c r="C12" s="6">
        <v>1351</v>
      </c>
      <c r="D12" s="63">
        <v>1</v>
      </c>
      <c r="E12" s="64">
        <v>0.90793010752688175</v>
      </c>
      <c r="F12" s="63">
        <v>0.75</v>
      </c>
      <c r="G12" s="63">
        <v>37.843137254901954</v>
      </c>
      <c r="H12" s="63">
        <v>0.5</v>
      </c>
      <c r="I12" s="65">
        <v>0.10954848260547742</v>
      </c>
      <c r="J12" s="63">
        <v>1</v>
      </c>
      <c r="K12" s="63">
        <v>30.7</v>
      </c>
      <c r="L12" s="63">
        <v>1.5</v>
      </c>
      <c r="M12" s="63">
        <v>111.42410015649453</v>
      </c>
      <c r="N12" s="63">
        <v>1</v>
      </c>
      <c r="O12" s="65">
        <v>0.13175425610658772</v>
      </c>
      <c r="P12" s="63">
        <v>1</v>
      </c>
      <c r="Q12" s="6">
        <v>5.49</v>
      </c>
      <c r="R12" s="63">
        <v>1</v>
      </c>
      <c r="S12" s="65">
        <v>0.44413456698741671</v>
      </c>
      <c r="T12" s="63">
        <v>1</v>
      </c>
      <c r="U12" s="65">
        <v>0.46965210954848263</v>
      </c>
      <c r="V12" s="63">
        <v>1.5</v>
      </c>
      <c r="W12" s="65">
        <v>0.17453974596831739</v>
      </c>
      <c r="X12" s="63">
        <v>1</v>
      </c>
      <c r="Y12" s="63">
        <v>11.25</v>
      </c>
      <c r="Z12" s="6" t="s">
        <v>225</v>
      </c>
      <c r="AA12" s="63">
        <v>0</v>
      </c>
      <c r="AB12" s="63">
        <v>10.178906756169836</v>
      </c>
      <c r="AC12" s="63">
        <v>1.25</v>
      </c>
      <c r="AD12" s="65">
        <v>0.45602240896358542</v>
      </c>
      <c r="AE12" s="63">
        <v>3.25</v>
      </c>
      <c r="AF12" s="63">
        <v>4.5</v>
      </c>
      <c r="AG12" s="66">
        <v>15.75</v>
      </c>
      <c r="AH12" s="31"/>
      <c r="AI12" s="31"/>
      <c r="AJ12" s="32"/>
      <c r="AK12" s="33"/>
    </row>
    <row r="13" spans="2:37" x14ac:dyDescent="0.3">
      <c r="B13" s="62" t="s">
        <v>230</v>
      </c>
      <c r="C13" s="6">
        <v>2045</v>
      </c>
      <c r="D13" s="63">
        <v>1</v>
      </c>
      <c r="E13" s="64">
        <v>0.95516113965436711</v>
      </c>
      <c r="F13" s="63">
        <v>0.75</v>
      </c>
      <c r="G13" s="63">
        <v>74.908424908424905</v>
      </c>
      <c r="H13" s="63">
        <v>0.25</v>
      </c>
      <c r="I13" s="65">
        <v>0.13789731051344745</v>
      </c>
      <c r="J13" s="63">
        <v>1</v>
      </c>
      <c r="K13" s="63">
        <v>26.9</v>
      </c>
      <c r="L13" s="63">
        <v>1.25</v>
      </c>
      <c r="M13" s="63">
        <v>108.46075433231397</v>
      </c>
      <c r="N13" s="63">
        <v>1</v>
      </c>
      <c r="O13" s="65">
        <v>0.23080684596577017</v>
      </c>
      <c r="P13" s="63">
        <v>2</v>
      </c>
      <c r="Q13" s="6">
        <v>5.48</v>
      </c>
      <c r="R13" s="63">
        <v>1</v>
      </c>
      <c r="S13" s="65">
        <v>0.43292176039119806</v>
      </c>
      <c r="T13" s="63">
        <v>1</v>
      </c>
      <c r="U13" s="65">
        <v>0.54706601466992666</v>
      </c>
      <c r="V13" s="63">
        <v>1.5</v>
      </c>
      <c r="W13" s="65">
        <v>0.21576288954541123</v>
      </c>
      <c r="X13" s="63">
        <v>1</v>
      </c>
      <c r="Y13" s="63">
        <v>11.75</v>
      </c>
      <c r="Z13" s="6" t="s">
        <v>225</v>
      </c>
      <c r="AA13" s="63">
        <v>0</v>
      </c>
      <c r="AB13" s="63">
        <v>20.328091000455355</v>
      </c>
      <c r="AC13" s="63">
        <v>1.5</v>
      </c>
      <c r="AD13" s="65">
        <v>0</v>
      </c>
      <c r="AE13" s="63">
        <v>2.25</v>
      </c>
      <c r="AF13" s="63">
        <v>3.75</v>
      </c>
      <c r="AG13" s="66">
        <v>15.5</v>
      </c>
      <c r="AH13" s="31"/>
      <c r="AI13" s="31"/>
      <c r="AJ13" s="32"/>
      <c r="AK13" s="33"/>
    </row>
    <row r="14" spans="2:37" x14ac:dyDescent="0.3">
      <c r="B14" s="62" t="s">
        <v>231</v>
      </c>
      <c r="C14" s="6">
        <v>3952</v>
      </c>
      <c r="D14" s="63">
        <v>0.75</v>
      </c>
      <c r="E14" s="64">
        <v>0.98824706176544141</v>
      </c>
      <c r="F14" s="63">
        <v>0.75</v>
      </c>
      <c r="G14" s="63">
        <v>62.630744849445321</v>
      </c>
      <c r="H14" s="63">
        <v>0.25</v>
      </c>
      <c r="I14" s="65">
        <v>0.1604251012145749</v>
      </c>
      <c r="J14" s="63">
        <v>0.75</v>
      </c>
      <c r="K14" s="63">
        <v>28.8</v>
      </c>
      <c r="L14" s="63">
        <v>1.25</v>
      </c>
      <c r="M14" s="63">
        <v>98.194583751253759</v>
      </c>
      <c r="N14" s="63">
        <v>0.75</v>
      </c>
      <c r="O14" s="65">
        <v>0.1707995951417004</v>
      </c>
      <c r="P14" s="63">
        <v>1.5</v>
      </c>
      <c r="Q14" s="6">
        <v>11.93</v>
      </c>
      <c r="R14" s="63">
        <v>1.75</v>
      </c>
      <c r="S14" s="65">
        <v>0.37331113360323886</v>
      </c>
      <c r="T14" s="63">
        <v>1.25</v>
      </c>
      <c r="U14" s="65">
        <v>0.35115131578947367</v>
      </c>
      <c r="V14" s="63">
        <v>1.75</v>
      </c>
      <c r="W14" s="65">
        <v>6.5111374719915655E-2</v>
      </c>
      <c r="X14" s="63">
        <v>0.5</v>
      </c>
      <c r="Y14" s="63">
        <v>11.25</v>
      </c>
      <c r="Z14" s="6" t="s">
        <v>225</v>
      </c>
      <c r="AA14" s="63">
        <v>0</v>
      </c>
      <c r="AB14" s="63">
        <v>16.56860564610362</v>
      </c>
      <c r="AC14" s="63">
        <v>1.5</v>
      </c>
      <c r="AD14" s="65">
        <v>3.3280507131537239E-3</v>
      </c>
      <c r="AE14" s="63">
        <v>2.25</v>
      </c>
      <c r="AF14" s="63">
        <v>3.75</v>
      </c>
      <c r="AG14" s="66">
        <v>15</v>
      </c>
      <c r="AH14" s="31"/>
      <c r="AI14" s="31"/>
      <c r="AJ14" s="32"/>
      <c r="AK14" s="33"/>
    </row>
    <row r="15" spans="2:37" x14ac:dyDescent="0.3">
      <c r="B15" s="62" t="s">
        <v>232</v>
      </c>
      <c r="C15" s="6">
        <v>4251</v>
      </c>
      <c r="D15" s="63">
        <v>0.75</v>
      </c>
      <c r="E15" s="64">
        <v>0.98722712494194143</v>
      </c>
      <c r="F15" s="63">
        <v>0.75</v>
      </c>
      <c r="G15" s="63">
        <v>231.03260869565219</v>
      </c>
      <c r="H15" s="63">
        <v>0.25</v>
      </c>
      <c r="I15" s="65">
        <v>0.19595389320159962</v>
      </c>
      <c r="J15" s="63">
        <v>0.75</v>
      </c>
      <c r="K15" s="63">
        <v>23.9</v>
      </c>
      <c r="L15" s="63">
        <v>1</v>
      </c>
      <c r="M15" s="63">
        <v>100.51886792452831</v>
      </c>
      <c r="N15" s="63">
        <v>1</v>
      </c>
      <c r="O15" s="65">
        <v>0.23829687132439425</v>
      </c>
      <c r="P15" s="63">
        <v>2</v>
      </c>
      <c r="Q15" s="6">
        <v>14.83</v>
      </c>
      <c r="R15" s="63">
        <v>1.75</v>
      </c>
      <c r="S15" s="65">
        <v>0.34747113620324627</v>
      </c>
      <c r="T15" s="63">
        <v>1.5</v>
      </c>
      <c r="U15" s="65">
        <v>0.33586215008233355</v>
      </c>
      <c r="V15" s="63">
        <v>2</v>
      </c>
      <c r="W15" s="65">
        <v>4.165853023498016E-2</v>
      </c>
      <c r="X15" s="63">
        <v>0.5</v>
      </c>
      <c r="Y15" s="63">
        <v>12.25</v>
      </c>
      <c r="Z15" s="6" t="s">
        <v>225</v>
      </c>
      <c r="AA15" s="63">
        <v>0</v>
      </c>
      <c r="AB15" s="63">
        <v>17.58449761015472</v>
      </c>
      <c r="AC15" s="63">
        <v>1.5</v>
      </c>
      <c r="AD15" s="65">
        <v>8.8586956521739132E-2</v>
      </c>
      <c r="AE15" s="63">
        <v>2.25</v>
      </c>
      <c r="AF15" s="63">
        <v>3.75</v>
      </c>
      <c r="AG15" s="66">
        <v>16</v>
      </c>
      <c r="AH15" s="31"/>
      <c r="AI15" s="31"/>
      <c r="AJ15" s="32"/>
      <c r="AK15" s="33"/>
    </row>
    <row r="16" spans="2:37" x14ac:dyDescent="0.3">
      <c r="B16" s="62" t="s">
        <v>233</v>
      </c>
      <c r="C16" s="6">
        <v>8026</v>
      </c>
      <c r="D16" s="63">
        <v>0.25</v>
      </c>
      <c r="E16" s="64">
        <v>1.0369509043927649</v>
      </c>
      <c r="F16" s="63">
        <v>0</v>
      </c>
      <c r="G16" s="63">
        <v>215.17426273458446</v>
      </c>
      <c r="H16" s="63">
        <v>0.25</v>
      </c>
      <c r="I16" s="65">
        <v>0.18352853227012211</v>
      </c>
      <c r="J16" s="63">
        <v>0.75</v>
      </c>
      <c r="K16" s="63">
        <v>22.6</v>
      </c>
      <c r="L16" s="63">
        <v>1</v>
      </c>
      <c r="M16" s="63">
        <v>105.37359263050155</v>
      </c>
      <c r="N16" s="63">
        <v>1</v>
      </c>
      <c r="O16" s="65">
        <v>0.23635684026912535</v>
      </c>
      <c r="P16" s="63">
        <v>2</v>
      </c>
      <c r="Q16" s="6">
        <v>12.95</v>
      </c>
      <c r="R16" s="63">
        <v>1.75</v>
      </c>
      <c r="S16" s="65">
        <v>0.37504928980812358</v>
      </c>
      <c r="T16" s="63">
        <v>1.25</v>
      </c>
      <c r="U16" s="65">
        <v>0.36341265885870921</v>
      </c>
      <c r="V16" s="63">
        <v>1.75</v>
      </c>
      <c r="W16" s="65">
        <v>6.3415086180268129E-2</v>
      </c>
      <c r="X16" s="63">
        <v>0.5</v>
      </c>
      <c r="Y16" s="63">
        <v>10.5</v>
      </c>
      <c r="Z16" s="6" t="s">
        <v>225</v>
      </c>
      <c r="AA16" s="63">
        <v>0</v>
      </c>
      <c r="AB16" s="63">
        <v>20.14364114713868</v>
      </c>
      <c r="AC16" s="63">
        <v>1.5</v>
      </c>
      <c r="AD16" s="65">
        <v>0</v>
      </c>
      <c r="AE16" s="63">
        <v>2.25</v>
      </c>
      <c r="AF16" s="63">
        <v>3.75</v>
      </c>
      <c r="AG16" s="66">
        <v>14.25</v>
      </c>
      <c r="AH16" s="31"/>
      <c r="AI16" s="31"/>
      <c r="AJ16" s="32"/>
      <c r="AK16" s="33"/>
    </row>
    <row r="17" spans="2:37" x14ac:dyDescent="0.3">
      <c r="B17" s="62" t="s">
        <v>234</v>
      </c>
      <c r="C17" s="6">
        <v>8100</v>
      </c>
      <c r="D17" s="63">
        <v>0.25</v>
      </c>
      <c r="E17" s="64">
        <v>1.0029717682020802</v>
      </c>
      <c r="F17" s="63">
        <v>0</v>
      </c>
      <c r="G17" s="63">
        <v>99.8766954377312</v>
      </c>
      <c r="H17" s="63">
        <v>0.25</v>
      </c>
      <c r="I17" s="65">
        <v>0.16123456790123455</v>
      </c>
      <c r="J17" s="63">
        <v>0.75</v>
      </c>
      <c r="K17" s="63">
        <v>24.1</v>
      </c>
      <c r="L17" s="63">
        <v>1</v>
      </c>
      <c r="M17" s="63">
        <v>100.99255583126552</v>
      </c>
      <c r="N17" s="63">
        <v>1</v>
      </c>
      <c r="O17" s="65">
        <v>0.23950617283950618</v>
      </c>
      <c r="P17" s="63">
        <v>2</v>
      </c>
      <c r="Q17" s="6">
        <v>13.1</v>
      </c>
      <c r="R17" s="63">
        <v>1.75</v>
      </c>
      <c r="S17" s="65">
        <v>0.37986722222222219</v>
      </c>
      <c r="T17" s="63">
        <v>1.25</v>
      </c>
      <c r="U17" s="65">
        <v>0.3527469135802469</v>
      </c>
      <c r="V17" s="63">
        <v>1.75</v>
      </c>
      <c r="W17" s="65">
        <v>4.7739477956787811E-2</v>
      </c>
      <c r="X17" s="63">
        <v>0.5</v>
      </c>
      <c r="Y17" s="63">
        <v>10.5</v>
      </c>
      <c r="Z17" s="6" t="s">
        <v>225</v>
      </c>
      <c r="AA17" s="63">
        <v>0</v>
      </c>
      <c r="AB17" s="63">
        <v>20.045335855581182</v>
      </c>
      <c r="AC17" s="63">
        <v>1.5</v>
      </c>
      <c r="AD17" s="65">
        <v>0</v>
      </c>
      <c r="AE17" s="63">
        <v>2.25</v>
      </c>
      <c r="AF17" s="63">
        <v>3.75</v>
      </c>
      <c r="AG17" s="66">
        <v>14.25</v>
      </c>
      <c r="AH17" s="31"/>
      <c r="AI17" s="31"/>
      <c r="AJ17" s="32"/>
      <c r="AK17" s="33"/>
    </row>
    <row r="18" spans="2:37" x14ac:dyDescent="0.3">
      <c r="B18" s="62" t="s">
        <v>235</v>
      </c>
      <c r="C18" s="6">
        <v>3178</v>
      </c>
      <c r="D18" s="63">
        <v>0.75</v>
      </c>
      <c r="E18" s="64">
        <v>0.93333333333333335</v>
      </c>
      <c r="F18" s="63">
        <v>0.75</v>
      </c>
      <c r="G18" s="63">
        <v>86.594005449591279</v>
      </c>
      <c r="H18" s="63">
        <v>0.25</v>
      </c>
      <c r="I18" s="65">
        <v>0.13467589679043424</v>
      </c>
      <c r="J18" s="63">
        <v>1</v>
      </c>
      <c r="K18" s="63">
        <v>30</v>
      </c>
      <c r="L18" s="63">
        <v>1.5</v>
      </c>
      <c r="M18" s="63">
        <v>105.29715762273901</v>
      </c>
      <c r="N18" s="63">
        <v>1</v>
      </c>
      <c r="O18" s="65">
        <v>0.11674008810572688</v>
      </c>
      <c r="P18" s="63">
        <v>1</v>
      </c>
      <c r="Q18" s="6">
        <v>9.11</v>
      </c>
      <c r="R18" s="63">
        <v>1</v>
      </c>
      <c r="S18" s="65">
        <v>0.41136683448709876</v>
      </c>
      <c r="T18" s="63">
        <v>1</v>
      </c>
      <c r="U18" s="65">
        <v>0.37586532410320955</v>
      </c>
      <c r="V18" s="63">
        <v>1.75</v>
      </c>
      <c r="W18" s="65">
        <v>0.13098278276629047</v>
      </c>
      <c r="X18" s="63">
        <v>1</v>
      </c>
      <c r="Y18" s="63">
        <v>11</v>
      </c>
      <c r="Z18" s="6" t="s">
        <v>225</v>
      </c>
      <c r="AA18" s="63">
        <v>0</v>
      </c>
      <c r="AB18" s="63">
        <v>22.594698055123523</v>
      </c>
      <c r="AC18" s="63">
        <v>1.5</v>
      </c>
      <c r="AD18" s="65">
        <v>2.9700272479564034E-2</v>
      </c>
      <c r="AE18" s="63">
        <v>2.25</v>
      </c>
      <c r="AF18" s="63">
        <v>3.75</v>
      </c>
      <c r="AG18" s="66">
        <v>14.75</v>
      </c>
      <c r="AH18" s="31"/>
      <c r="AI18" s="31"/>
      <c r="AJ18" s="32"/>
      <c r="AK18" s="33"/>
    </row>
    <row r="19" spans="2:37" x14ac:dyDescent="0.3">
      <c r="B19" s="62" t="s">
        <v>236</v>
      </c>
      <c r="C19" s="6">
        <v>2336</v>
      </c>
      <c r="D19" s="63">
        <v>1</v>
      </c>
      <c r="E19" s="64">
        <v>0.88150943396226411</v>
      </c>
      <c r="F19" s="63">
        <v>1</v>
      </c>
      <c r="G19" s="63">
        <v>20.31304347826087</v>
      </c>
      <c r="H19" s="63">
        <v>0.5</v>
      </c>
      <c r="I19" s="65">
        <v>0.12842465753424659</v>
      </c>
      <c r="J19" s="63">
        <v>1</v>
      </c>
      <c r="K19" s="63">
        <v>34</v>
      </c>
      <c r="L19" s="63">
        <v>1.5</v>
      </c>
      <c r="M19" s="63">
        <v>105.99647266313934</v>
      </c>
      <c r="N19" s="63">
        <v>1</v>
      </c>
      <c r="O19" s="65">
        <v>0.15368150684931506</v>
      </c>
      <c r="P19" s="63">
        <v>1.5</v>
      </c>
      <c r="Q19" s="6">
        <v>10.76</v>
      </c>
      <c r="R19" s="63">
        <v>1.75</v>
      </c>
      <c r="S19" s="65">
        <v>0.37572825342465754</v>
      </c>
      <c r="T19" s="63">
        <v>1.25</v>
      </c>
      <c r="U19" s="65">
        <v>0.41309931506849318</v>
      </c>
      <c r="V19" s="63">
        <v>1.5</v>
      </c>
      <c r="W19" s="65">
        <v>0.15333206033988925</v>
      </c>
      <c r="X19" s="63">
        <v>1</v>
      </c>
      <c r="Y19" s="63">
        <v>13</v>
      </c>
      <c r="Z19" s="6" t="s">
        <v>223</v>
      </c>
      <c r="AA19" s="63">
        <v>0.25</v>
      </c>
      <c r="AB19" s="63">
        <v>37.706298615164251</v>
      </c>
      <c r="AC19" s="63">
        <v>1.5</v>
      </c>
      <c r="AD19" s="65">
        <v>0.42913043478260871</v>
      </c>
      <c r="AE19" s="63">
        <v>3.25</v>
      </c>
      <c r="AF19" s="63">
        <v>5</v>
      </c>
      <c r="AG19" s="66">
        <v>18</v>
      </c>
      <c r="AH19" s="31"/>
      <c r="AI19" s="31"/>
      <c r="AJ19" s="32"/>
      <c r="AK19" s="33"/>
    </row>
    <row r="20" spans="2:37" x14ac:dyDescent="0.3">
      <c r="B20" s="62" t="s">
        <v>237</v>
      </c>
      <c r="C20" s="6">
        <v>2080</v>
      </c>
      <c r="D20" s="63">
        <v>1</v>
      </c>
      <c r="E20" s="64">
        <v>0.89193825042881647</v>
      </c>
      <c r="F20" s="63">
        <v>1</v>
      </c>
      <c r="G20" s="63">
        <v>48.148148148148145</v>
      </c>
      <c r="H20" s="63">
        <v>0.5</v>
      </c>
      <c r="I20" s="65">
        <v>0.16057692307692309</v>
      </c>
      <c r="J20" s="63">
        <v>0.75</v>
      </c>
      <c r="K20" s="63">
        <v>33.700000000000003</v>
      </c>
      <c r="L20" s="63">
        <v>1.5</v>
      </c>
      <c r="M20" s="63">
        <v>99.424736337488014</v>
      </c>
      <c r="N20" s="63">
        <v>0.75</v>
      </c>
      <c r="O20" s="65">
        <v>0.18990384615384615</v>
      </c>
      <c r="P20" s="63">
        <v>1.5</v>
      </c>
      <c r="Q20" s="6">
        <v>16.62</v>
      </c>
      <c r="R20" s="63">
        <v>2</v>
      </c>
      <c r="S20" s="65">
        <v>0.30518024038461539</v>
      </c>
      <c r="T20" s="63">
        <v>1.5</v>
      </c>
      <c r="U20" s="65">
        <v>0.27848557692307691</v>
      </c>
      <c r="V20" s="63">
        <v>2</v>
      </c>
      <c r="W20" s="65">
        <v>9.2034606205250599E-2</v>
      </c>
      <c r="X20" s="63">
        <v>0.5</v>
      </c>
      <c r="Y20" s="63">
        <v>13</v>
      </c>
      <c r="Z20" s="6" t="s">
        <v>223</v>
      </c>
      <c r="AA20" s="63">
        <v>0.25</v>
      </c>
      <c r="AB20" s="63">
        <v>26.824713008377564</v>
      </c>
      <c r="AC20" s="63">
        <v>1.5</v>
      </c>
      <c r="AD20" s="65">
        <v>0</v>
      </c>
      <c r="AE20" s="63">
        <v>2.25</v>
      </c>
      <c r="AF20" s="63">
        <v>4</v>
      </c>
      <c r="AG20" s="66">
        <v>17</v>
      </c>
      <c r="AH20" s="31"/>
      <c r="AI20" s="31"/>
      <c r="AJ20" s="32"/>
      <c r="AK20" s="33"/>
    </row>
    <row r="21" spans="2:37" x14ac:dyDescent="0.3">
      <c r="B21" s="62" t="s">
        <v>238</v>
      </c>
      <c r="C21" s="6">
        <v>993</v>
      </c>
      <c r="D21" s="63">
        <v>1.5</v>
      </c>
      <c r="E21" s="64">
        <v>1.0735135135135134</v>
      </c>
      <c r="F21" s="63">
        <v>0</v>
      </c>
      <c r="G21" s="63">
        <v>45.136363636363633</v>
      </c>
      <c r="H21" s="63">
        <v>0.5</v>
      </c>
      <c r="I21" s="65">
        <v>0.15609264853977844</v>
      </c>
      <c r="J21" s="63">
        <v>0.75</v>
      </c>
      <c r="K21" s="63">
        <v>23.9</v>
      </c>
      <c r="L21" s="63">
        <v>1</v>
      </c>
      <c r="M21" s="63">
        <v>99.798792756539228</v>
      </c>
      <c r="N21" s="63">
        <v>0.75</v>
      </c>
      <c r="O21" s="65">
        <v>0.13393756294058409</v>
      </c>
      <c r="P21" s="63">
        <v>1</v>
      </c>
      <c r="Q21" s="6">
        <v>6.29</v>
      </c>
      <c r="R21" s="63">
        <v>1</v>
      </c>
      <c r="S21" s="65">
        <v>0.45209566968781467</v>
      </c>
      <c r="T21" s="63">
        <v>1</v>
      </c>
      <c r="U21" s="65">
        <v>0.43403826787512589</v>
      </c>
      <c r="V21" s="63">
        <v>1.5</v>
      </c>
      <c r="W21" s="65">
        <v>0.14668265387689847</v>
      </c>
      <c r="X21" s="63">
        <v>1</v>
      </c>
      <c r="Y21" s="63">
        <v>10</v>
      </c>
      <c r="Z21" s="6" t="s">
        <v>225</v>
      </c>
      <c r="AA21" s="63">
        <v>0</v>
      </c>
      <c r="AB21" s="63">
        <v>9.2894893793277955</v>
      </c>
      <c r="AC21" s="63">
        <v>1.25</v>
      </c>
      <c r="AD21" s="65">
        <v>4.2272727272727274E-2</v>
      </c>
      <c r="AE21" s="63">
        <v>2.25</v>
      </c>
      <c r="AF21" s="63">
        <v>3.5</v>
      </c>
      <c r="AG21" s="66">
        <v>13.5</v>
      </c>
      <c r="AH21" s="31"/>
      <c r="AI21" s="31"/>
      <c r="AJ21" s="32"/>
      <c r="AK21" s="33"/>
    </row>
    <row r="22" spans="2:37" x14ac:dyDescent="0.3">
      <c r="B22" s="62" t="s">
        <v>239</v>
      </c>
      <c r="C22" s="6">
        <v>2444</v>
      </c>
      <c r="D22" s="63">
        <v>1</v>
      </c>
      <c r="E22" s="64">
        <v>0.99877400899060076</v>
      </c>
      <c r="F22" s="63">
        <v>0.75</v>
      </c>
      <c r="G22" s="63">
        <v>46.375711574952561</v>
      </c>
      <c r="H22" s="63">
        <v>0.5</v>
      </c>
      <c r="I22" s="65">
        <v>0.161620294599018</v>
      </c>
      <c r="J22" s="63">
        <v>0.75</v>
      </c>
      <c r="K22" s="63">
        <v>26.3</v>
      </c>
      <c r="L22" s="63">
        <v>1.25</v>
      </c>
      <c r="M22" s="63">
        <v>112.15277777777777</v>
      </c>
      <c r="N22" s="63">
        <v>1</v>
      </c>
      <c r="O22" s="65">
        <v>0.22176759410801963</v>
      </c>
      <c r="P22" s="63">
        <v>2</v>
      </c>
      <c r="Q22" s="6">
        <v>8.52</v>
      </c>
      <c r="R22" s="63">
        <v>1</v>
      </c>
      <c r="S22" s="65">
        <v>0.40752111292962356</v>
      </c>
      <c r="T22" s="63">
        <v>1</v>
      </c>
      <c r="U22" s="65">
        <v>0.48046235679214405</v>
      </c>
      <c r="V22" s="63">
        <v>1.5</v>
      </c>
      <c r="W22" s="65">
        <v>0.18009855348911144</v>
      </c>
      <c r="X22" s="63">
        <v>1</v>
      </c>
      <c r="Y22" s="63">
        <v>11.75</v>
      </c>
      <c r="Z22" s="6" t="s">
        <v>225</v>
      </c>
      <c r="AA22" s="63">
        <v>0</v>
      </c>
      <c r="AB22" s="63">
        <v>35.311230065014904</v>
      </c>
      <c r="AC22" s="63">
        <v>1.5</v>
      </c>
      <c r="AD22" s="65">
        <v>6.8311195445920306E-2</v>
      </c>
      <c r="AE22" s="63">
        <v>2.25</v>
      </c>
      <c r="AF22" s="63">
        <v>3.75</v>
      </c>
      <c r="AG22" s="66">
        <v>15.5</v>
      </c>
      <c r="AH22" s="31"/>
      <c r="AI22" s="31"/>
      <c r="AJ22" s="32"/>
      <c r="AK22" s="33"/>
    </row>
    <row r="23" spans="2:37" x14ac:dyDescent="0.3">
      <c r="B23" s="62" t="s">
        <v>240</v>
      </c>
      <c r="C23" s="6">
        <v>2483</v>
      </c>
      <c r="D23" s="63">
        <v>1</v>
      </c>
      <c r="E23" s="64">
        <v>0.95573518090839105</v>
      </c>
      <c r="F23" s="63">
        <v>0.75</v>
      </c>
      <c r="G23" s="63">
        <v>37.004470938897171</v>
      </c>
      <c r="H23" s="63">
        <v>0.5</v>
      </c>
      <c r="I23" s="65">
        <v>0.13934756343133306</v>
      </c>
      <c r="J23" s="63">
        <v>1</v>
      </c>
      <c r="K23" s="63">
        <v>31.4</v>
      </c>
      <c r="L23" s="63">
        <v>1.5</v>
      </c>
      <c r="M23" s="63">
        <v>100.40355125100888</v>
      </c>
      <c r="N23" s="63">
        <v>1</v>
      </c>
      <c r="O23" s="65">
        <v>0.14861055175191301</v>
      </c>
      <c r="P23" s="63">
        <v>1</v>
      </c>
      <c r="Q23" s="6">
        <v>8.33</v>
      </c>
      <c r="R23" s="63">
        <v>1</v>
      </c>
      <c r="S23" s="65">
        <v>0.40875207410390657</v>
      </c>
      <c r="T23" s="63">
        <v>1</v>
      </c>
      <c r="U23" s="65">
        <v>0.42166733789770439</v>
      </c>
      <c r="V23" s="63">
        <v>1.5</v>
      </c>
      <c r="W23" s="65">
        <v>0.13262879788639367</v>
      </c>
      <c r="X23" s="63">
        <v>1</v>
      </c>
      <c r="Y23" s="63">
        <v>11.25</v>
      </c>
      <c r="Z23" s="6" t="s">
        <v>223</v>
      </c>
      <c r="AA23" s="63">
        <v>0.25</v>
      </c>
      <c r="AB23" s="63">
        <v>13.95016275210163</v>
      </c>
      <c r="AC23" s="63">
        <v>1.5</v>
      </c>
      <c r="AD23" s="65">
        <v>0.83144560357675112</v>
      </c>
      <c r="AE23" s="63">
        <v>3.25</v>
      </c>
      <c r="AF23" s="63">
        <v>5</v>
      </c>
      <c r="AG23" s="66">
        <v>16.25</v>
      </c>
      <c r="AH23" s="31"/>
      <c r="AI23" s="31"/>
      <c r="AJ23" s="32"/>
      <c r="AK23" s="33"/>
    </row>
    <row r="24" spans="2:37" x14ac:dyDescent="0.3">
      <c r="B24" s="62" t="s">
        <v>241</v>
      </c>
      <c r="C24" s="6">
        <v>2864</v>
      </c>
      <c r="D24" s="63">
        <v>1</v>
      </c>
      <c r="E24" s="64">
        <v>1.0091613812544045</v>
      </c>
      <c r="F24" s="63">
        <v>0</v>
      </c>
      <c r="G24" s="63">
        <v>131.9815668202765</v>
      </c>
      <c r="H24" s="63">
        <v>0.25</v>
      </c>
      <c r="I24" s="65">
        <v>0.15956703910614525</v>
      </c>
      <c r="J24" s="63">
        <v>0.75</v>
      </c>
      <c r="K24" s="63">
        <v>26.6</v>
      </c>
      <c r="L24" s="63">
        <v>1.25</v>
      </c>
      <c r="M24" s="63">
        <v>99.721059972105991</v>
      </c>
      <c r="N24" s="63">
        <v>0.75</v>
      </c>
      <c r="O24" s="65">
        <v>0.20391061452513967</v>
      </c>
      <c r="P24" s="63">
        <v>2</v>
      </c>
      <c r="Q24" s="6">
        <v>9.5</v>
      </c>
      <c r="R24" s="63">
        <v>1</v>
      </c>
      <c r="S24" s="65">
        <v>0.39829839385474858</v>
      </c>
      <c r="T24" s="63">
        <v>1.25</v>
      </c>
      <c r="U24" s="65">
        <v>0.43610335195530725</v>
      </c>
      <c r="V24" s="63">
        <v>1.5</v>
      </c>
      <c r="W24" s="65">
        <v>8.5548172757475088E-2</v>
      </c>
      <c r="X24" s="63">
        <v>0.5</v>
      </c>
      <c r="Y24" s="63">
        <v>10.25</v>
      </c>
      <c r="Z24" s="6" t="s">
        <v>225</v>
      </c>
      <c r="AA24" s="63">
        <v>0</v>
      </c>
      <c r="AB24" s="63">
        <v>30.8179832102586</v>
      </c>
      <c r="AC24" s="63">
        <v>1.5</v>
      </c>
      <c r="AD24" s="65">
        <v>0.10875576036866359</v>
      </c>
      <c r="AE24" s="63">
        <v>2.75</v>
      </c>
      <c r="AF24" s="63">
        <v>4.25</v>
      </c>
      <c r="AG24" s="66">
        <v>14.5</v>
      </c>
      <c r="AH24" s="31"/>
      <c r="AI24" s="31"/>
      <c r="AJ24" s="32"/>
      <c r="AK24" s="33"/>
    </row>
    <row r="25" spans="2:37" x14ac:dyDescent="0.3">
      <c r="B25" s="62" t="s">
        <v>242</v>
      </c>
      <c r="C25" s="6">
        <v>3450</v>
      </c>
      <c r="D25" s="63">
        <v>0.75</v>
      </c>
      <c r="E25" s="64">
        <v>1.0105448154657293</v>
      </c>
      <c r="F25" s="63">
        <v>0</v>
      </c>
      <c r="G25" s="63">
        <v>121.05263157894737</v>
      </c>
      <c r="H25" s="63">
        <v>0.25</v>
      </c>
      <c r="I25" s="65">
        <v>0.1736231884057971</v>
      </c>
      <c r="J25" s="63">
        <v>0.75</v>
      </c>
      <c r="K25" s="63">
        <v>22</v>
      </c>
      <c r="L25" s="63">
        <v>1</v>
      </c>
      <c r="M25" s="63">
        <v>107.33173076923077</v>
      </c>
      <c r="N25" s="63">
        <v>1</v>
      </c>
      <c r="O25" s="65">
        <v>0.29478260869565215</v>
      </c>
      <c r="P25" s="63">
        <v>2</v>
      </c>
      <c r="Q25" s="6">
        <v>9.69</v>
      </c>
      <c r="R25" s="63">
        <v>1</v>
      </c>
      <c r="S25" s="65">
        <v>0.41230400000000006</v>
      </c>
      <c r="T25" s="63">
        <v>1</v>
      </c>
      <c r="U25" s="65">
        <v>0.5457971014492754</v>
      </c>
      <c r="V25" s="63">
        <v>1.5</v>
      </c>
      <c r="W25" s="65">
        <v>9.3852590923720614E-2</v>
      </c>
      <c r="X25" s="63">
        <v>0.5</v>
      </c>
      <c r="Y25" s="63">
        <v>9.75</v>
      </c>
      <c r="Z25" s="6" t="s">
        <v>225</v>
      </c>
      <c r="AA25" s="63">
        <v>0</v>
      </c>
      <c r="AB25" s="63">
        <v>25.565046409544216</v>
      </c>
      <c r="AC25" s="63">
        <v>1.5</v>
      </c>
      <c r="AD25" s="65">
        <v>8.2807017543859648E-2</v>
      </c>
      <c r="AE25" s="63">
        <v>2.25</v>
      </c>
      <c r="AF25" s="63">
        <v>3.75</v>
      </c>
      <c r="AG25" s="66">
        <v>13.5</v>
      </c>
      <c r="AH25" s="31"/>
      <c r="AI25" s="31"/>
      <c r="AJ25" s="32"/>
      <c r="AK25" s="33"/>
    </row>
    <row r="26" spans="2:37" x14ac:dyDescent="0.3">
      <c r="B26" s="62" t="s">
        <v>243</v>
      </c>
      <c r="C26" s="6">
        <v>1093</v>
      </c>
      <c r="D26" s="63">
        <v>1</v>
      </c>
      <c r="E26" s="64">
        <v>0.95458515283842793</v>
      </c>
      <c r="F26" s="63">
        <v>0.75</v>
      </c>
      <c r="G26" s="63">
        <v>100.27522935779817</v>
      </c>
      <c r="H26" s="63">
        <v>0.25</v>
      </c>
      <c r="I26" s="65">
        <v>0.10704483074107959</v>
      </c>
      <c r="J26" s="63">
        <v>1</v>
      </c>
      <c r="K26" s="63">
        <v>34.6</v>
      </c>
      <c r="L26" s="63">
        <v>1.5</v>
      </c>
      <c r="M26" s="63">
        <v>103.9179104477612</v>
      </c>
      <c r="N26" s="63">
        <v>1</v>
      </c>
      <c r="O26" s="65">
        <v>0.13632204940530648</v>
      </c>
      <c r="P26" s="63">
        <v>1</v>
      </c>
      <c r="Q26" s="6">
        <v>8.75</v>
      </c>
      <c r="R26" s="63">
        <v>1</v>
      </c>
      <c r="S26" s="65">
        <v>0.32736175663311984</v>
      </c>
      <c r="T26" s="63">
        <v>1.5</v>
      </c>
      <c r="U26" s="65">
        <v>0.30878316559926805</v>
      </c>
      <c r="V26" s="63">
        <v>2</v>
      </c>
      <c r="W26" s="65">
        <v>7.1349862258953164E-2</v>
      </c>
      <c r="X26" s="63">
        <v>0.5</v>
      </c>
      <c r="Y26" s="63">
        <v>11.5</v>
      </c>
      <c r="Z26" s="6" t="s">
        <v>225</v>
      </c>
      <c r="AA26" s="63">
        <v>0</v>
      </c>
      <c r="AB26" s="63">
        <v>19.17878128474468</v>
      </c>
      <c r="AC26" s="63">
        <v>1.5</v>
      </c>
      <c r="AD26" s="65">
        <v>0</v>
      </c>
      <c r="AE26" s="63">
        <v>2.25</v>
      </c>
      <c r="AF26" s="63">
        <v>3.75</v>
      </c>
      <c r="AG26" s="66">
        <v>15.25</v>
      </c>
      <c r="AH26" s="31"/>
      <c r="AI26" s="31"/>
      <c r="AJ26" s="32"/>
      <c r="AK26" s="33"/>
    </row>
    <row r="27" spans="2:37" x14ac:dyDescent="0.3">
      <c r="B27" s="62" t="s">
        <v>244</v>
      </c>
      <c r="C27" s="6">
        <v>4131</v>
      </c>
      <c r="D27" s="63">
        <v>0.75</v>
      </c>
      <c r="E27" s="64">
        <v>1.1007194244604317</v>
      </c>
      <c r="F27" s="63">
        <v>0</v>
      </c>
      <c r="G27" s="63">
        <v>308.28358208955223</v>
      </c>
      <c r="H27" s="63">
        <v>0.25</v>
      </c>
      <c r="I27" s="65">
        <v>0.17695473251028807</v>
      </c>
      <c r="J27" s="63">
        <v>0.75</v>
      </c>
      <c r="K27" s="63">
        <v>23.1</v>
      </c>
      <c r="L27" s="63">
        <v>1</v>
      </c>
      <c r="M27" s="63">
        <v>102.10371819960862</v>
      </c>
      <c r="N27" s="63">
        <v>1</v>
      </c>
      <c r="O27" s="65">
        <v>0.15855725006051805</v>
      </c>
      <c r="P27" s="63">
        <v>1.5</v>
      </c>
      <c r="Q27" s="6">
        <v>11.73</v>
      </c>
      <c r="R27" s="63">
        <v>1.75</v>
      </c>
      <c r="S27" s="65">
        <v>0.41355858145727431</v>
      </c>
      <c r="T27" s="63">
        <v>1</v>
      </c>
      <c r="U27" s="65">
        <v>0.40383684337932702</v>
      </c>
      <c r="V27" s="63">
        <v>1.5</v>
      </c>
      <c r="W27" s="65">
        <v>9.3185270546330731E-2</v>
      </c>
      <c r="X27" s="63">
        <v>0.5</v>
      </c>
      <c r="Y27" s="63">
        <v>10</v>
      </c>
      <c r="Z27" s="6" t="s">
        <v>225</v>
      </c>
      <c r="AA27" s="63">
        <v>0</v>
      </c>
      <c r="AB27" s="63">
        <v>11.58978711117846</v>
      </c>
      <c r="AC27" s="63">
        <v>1.25</v>
      </c>
      <c r="AD27" s="65">
        <v>5.9701492537313433E-3</v>
      </c>
      <c r="AE27" s="63">
        <v>2.25</v>
      </c>
      <c r="AF27" s="63">
        <v>3.5</v>
      </c>
      <c r="AG27" s="66">
        <v>13.5</v>
      </c>
      <c r="AH27" s="31"/>
      <c r="AI27" s="31"/>
      <c r="AJ27" s="32"/>
      <c r="AK27" s="33"/>
    </row>
    <row r="28" spans="2:37" x14ac:dyDescent="0.3">
      <c r="B28" s="62" t="s">
        <v>245</v>
      </c>
      <c r="C28" s="6">
        <v>5951</v>
      </c>
      <c r="D28" s="63">
        <v>0.25</v>
      </c>
      <c r="E28" s="64">
        <v>0.98104187273326737</v>
      </c>
      <c r="F28" s="63">
        <v>0.75</v>
      </c>
      <c r="G28" s="63">
        <v>67.319004524886878</v>
      </c>
      <c r="H28" s="63">
        <v>0.25</v>
      </c>
      <c r="I28" s="65">
        <v>0.16081330868761554</v>
      </c>
      <c r="J28" s="63">
        <v>0.75</v>
      </c>
      <c r="K28" s="63">
        <v>24</v>
      </c>
      <c r="L28" s="63">
        <v>1</v>
      </c>
      <c r="M28" s="63">
        <v>102.75979557069847</v>
      </c>
      <c r="N28" s="63">
        <v>1</v>
      </c>
      <c r="O28" s="65">
        <v>0.1883717022349185</v>
      </c>
      <c r="P28" s="63">
        <v>1.5</v>
      </c>
      <c r="Q28" s="6">
        <v>9.8000000000000007</v>
      </c>
      <c r="R28" s="63">
        <v>1</v>
      </c>
      <c r="S28" s="65">
        <v>0.41727383633002851</v>
      </c>
      <c r="T28" s="63">
        <v>1</v>
      </c>
      <c r="U28" s="65">
        <v>0.44055620904049742</v>
      </c>
      <c r="V28" s="63">
        <v>1.5</v>
      </c>
      <c r="W28" s="65">
        <v>7.424475166410649E-2</v>
      </c>
      <c r="X28" s="63">
        <v>0.5</v>
      </c>
      <c r="Y28" s="63">
        <v>9.5</v>
      </c>
      <c r="Z28" s="6" t="s">
        <v>225</v>
      </c>
      <c r="AA28" s="63">
        <v>0</v>
      </c>
      <c r="AB28" s="63">
        <v>35.664153583457605</v>
      </c>
      <c r="AC28" s="63">
        <v>1.5</v>
      </c>
      <c r="AD28" s="65">
        <v>0.20192307692307693</v>
      </c>
      <c r="AE28" s="63">
        <v>3.25</v>
      </c>
      <c r="AF28" s="63">
        <v>4.75</v>
      </c>
      <c r="AG28" s="66">
        <v>14.25</v>
      </c>
      <c r="AH28" s="31"/>
      <c r="AI28" s="31"/>
      <c r="AJ28" s="32"/>
      <c r="AK28" s="33"/>
    </row>
    <row r="29" spans="2:37" x14ac:dyDescent="0.3">
      <c r="B29" s="62" t="s">
        <v>246</v>
      </c>
      <c r="C29" s="6">
        <v>3738</v>
      </c>
      <c r="D29" s="63">
        <v>0.75</v>
      </c>
      <c r="E29" s="64">
        <v>1.033453137959635</v>
      </c>
      <c r="F29" s="63">
        <v>0</v>
      </c>
      <c r="G29" s="63">
        <v>128.89655172413794</v>
      </c>
      <c r="H29" s="63">
        <v>0.25</v>
      </c>
      <c r="I29" s="65">
        <v>0.15302300695559123</v>
      </c>
      <c r="J29" s="63">
        <v>0.75</v>
      </c>
      <c r="K29" s="63">
        <v>24.9</v>
      </c>
      <c r="L29" s="63">
        <v>1</v>
      </c>
      <c r="M29" s="63">
        <v>109.17739227756016</v>
      </c>
      <c r="N29" s="63">
        <v>1</v>
      </c>
      <c r="O29" s="65">
        <v>0.19636169074371321</v>
      </c>
      <c r="P29" s="63">
        <v>1.5</v>
      </c>
      <c r="Q29" s="6">
        <v>9.7200000000000006</v>
      </c>
      <c r="R29" s="63">
        <v>1</v>
      </c>
      <c r="S29" s="65">
        <v>0.41650080256821831</v>
      </c>
      <c r="T29" s="63">
        <v>1</v>
      </c>
      <c r="U29" s="65">
        <v>0.46013911182450506</v>
      </c>
      <c r="V29" s="63">
        <v>1.5</v>
      </c>
      <c r="W29" s="65">
        <v>0.18226041835576456</v>
      </c>
      <c r="X29" s="63">
        <v>1</v>
      </c>
      <c r="Y29" s="63">
        <v>9.75</v>
      </c>
      <c r="Z29" s="6" t="s">
        <v>225</v>
      </c>
      <c r="AA29" s="63">
        <v>0</v>
      </c>
      <c r="AB29" s="63">
        <v>16.043645744509973</v>
      </c>
      <c r="AC29" s="63">
        <v>1.5</v>
      </c>
      <c r="AD29" s="65">
        <v>1.3793103448275864E-2</v>
      </c>
      <c r="AE29" s="63">
        <v>2.25</v>
      </c>
      <c r="AF29" s="63">
        <v>3.75</v>
      </c>
      <c r="AG29" s="66">
        <v>13.5</v>
      </c>
      <c r="AH29" s="31"/>
      <c r="AI29" s="31"/>
      <c r="AJ29" s="32"/>
      <c r="AK29" s="33"/>
    </row>
    <row r="30" spans="2:37" x14ac:dyDescent="0.3">
      <c r="B30" s="62" t="s">
        <v>349</v>
      </c>
      <c r="C30" s="6">
        <v>6344</v>
      </c>
      <c r="D30" s="63">
        <v>0.25</v>
      </c>
      <c r="E30" s="64">
        <v>1.008</v>
      </c>
      <c r="F30" s="63">
        <v>0</v>
      </c>
      <c r="G30" s="63">
        <v>301</v>
      </c>
      <c r="H30" s="63">
        <v>0.25</v>
      </c>
      <c r="I30" s="65">
        <v>0.15509999999999999</v>
      </c>
      <c r="J30" s="63">
        <v>0.75</v>
      </c>
      <c r="K30" s="63">
        <v>24.9</v>
      </c>
      <c r="L30" s="63">
        <v>1</v>
      </c>
      <c r="M30" s="63">
        <v>97.63</v>
      </c>
      <c r="N30" s="63">
        <v>0.75</v>
      </c>
      <c r="O30" s="65">
        <v>0.14499999999999999</v>
      </c>
      <c r="P30" s="63">
        <v>1</v>
      </c>
      <c r="Q30" s="6">
        <v>10.029999999999999</v>
      </c>
      <c r="R30" s="63">
        <v>1.75</v>
      </c>
      <c r="S30" s="65">
        <v>0.44550000000000001</v>
      </c>
      <c r="T30" s="63">
        <v>1</v>
      </c>
      <c r="U30" s="65">
        <v>0.44550000000000001</v>
      </c>
      <c r="V30" s="63">
        <v>1.5</v>
      </c>
      <c r="W30" s="65">
        <v>4.1399999999999999E-2</v>
      </c>
      <c r="X30" s="63">
        <v>0.5</v>
      </c>
      <c r="Y30" s="63">
        <v>8.75</v>
      </c>
      <c r="Z30" s="6" t="s">
        <v>225</v>
      </c>
      <c r="AA30" s="63">
        <v>0</v>
      </c>
      <c r="AB30" s="63">
        <v>46.6</v>
      </c>
      <c r="AC30" s="63">
        <v>1.5</v>
      </c>
      <c r="AD30" s="65">
        <v>0</v>
      </c>
      <c r="AE30" s="63">
        <v>2.75</v>
      </c>
      <c r="AF30" s="63">
        <f>SUM(AE30+AC30)</f>
        <v>4.25</v>
      </c>
      <c r="AG30" s="66">
        <v>13</v>
      </c>
      <c r="AH30" s="31"/>
      <c r="AI30" s="31"/>
      <c r="AJ30" s="32"/>
      <c r="AK30" s="33"/>
    </row>
    <row r="31" spans="2:37" x14ac:dyDescent="0.3">
      <c r="B31" s="62" t="s">
        <v>247</v>
      </c>
      <c r="C31" s="6">
        <v>37042</v>
      </c>
      <c r="D31" s="63">
        <v>0</v>
      </c>
      <c r="E31" s="64">
        <v>1.0503005557445844</v>
      </c>
      <c r="F31" s="63">
        <v>0</v>
      </c>
      <c r="G31" s="63">
        <v>171.72925359295317</v>
      </c>
      <c r="H31" s="63">
        <v>0.25</v>
      </c>
      <c r="I31" s="65">
        <v>0.15898169645267535</v>
      </c>
      <c r="J31" s="63">
        <v>0.75</v>
      </c>
      <c r="K31" s="63">
        <v>23.8</v>
      </c>
      <c r="L31" s="63">
        <v>1</v>
      </c>
      <c r="M31" s="63">
        <v>97.757727830868618</v>
      </c>
      <c r="N31" s="63">
        <v>0.75</v>
      </c>
      <c r="O31" s="65">
        <v>0.2164030019977323</v>
      </c>
      <c r="P31" s="63">
        <v>2</v>
      </c>
      <c r="Q31" s="6">
        <v>10.84</v>
      </c>
      <c r="R31" s="63">
        <v>1.75</v>
      </c>
      <c r="S31" s="65">
        <v>0.40462408077317641</v>
      </c>
      <c r="T31" s="63">
        <v>1</v>
      </c>
      <c r="U31" s="65">
        <v>0.38878165325846337</v>
      </c>
      <c r="V31" s="63">
        <v>1.75</v>
      </c>
      <c r="W31" s="65">
        <v>3.5322769514413141E-2</v>
      </c>
      <c r="X31" s="63">
        <v>0.5</v>
      </c>
      <c r="Y31" s="63">
        <v>9.75</v>
      </c>
      <c r="Z31" s="6" t="s">
        <v>225</v>
      </c>
      <c r="AA31" s="63">
        <v>0</v>
      </c>
      <c r="AB31" s="63">
        <v>0</v>
      </c>
      <c r="AC31" s="63">
        <v>1.25</v>
      </c>
      <c r="AD31" s="65">
        <v>0.19058878071395458</v>
      </c>
      <c r="AE31" s="63">
        <v>2.75</v>
      </c>
      <c r="AF31" s="63">
        <v>4</v>
      </c>
      <c r="AG31" s="66">
        <v>13.75</v>
      </c>
      <c r="AH31" s="31"/>
      <c r="AI31" s="31"/>
      <c r="AJ31" s="32"/>
      <c r="AK31" s="33"/>
    </row>
    <row r="32" spans="2:37" x14ac:dyDescent="0.3">
      <c r="B32" s="62" t="s">
        <v>248</v>
      </c>
      <c r="C32" s="6">
        <v>132</v>
      </c>
      <c r="D32" s="63">
        <v>1.5</v>
      </c>
      <c r="E32" s="64">
        <v>1.064516129032258</v>
      </c>
      <c r="F32" s="63">
        <v>0</v>
      </c>
      <c r="G32" s="63">
        <v>34.736842105263158</v>
      </c>
      <c r="H32" s="63">
        <v>0.5</v>
      </c>
      <c r="I32" s="65">
        <v>9.8484848484848481E-2</v>
      </c>
      <c r="J32" s="63">
        <v>1</v>
      </c>
      <c r="K32" s="63">
        <v>36.4</v>
      </c>
      <c r="L32" s="63">
        <v>1.5</v>
      </c>
      <c r="M32" s="63">
        <v>78.378378378378372</v>
      </c>
      <c r="N32" s="63">
        <v>0.75</v>
      </c>
      <c r="O32" s="65">
        <v>0.25</v>
      </c>
      <c r="P32" s="63">
        <v>2</v>
      </c>
      <c r="Q32" s="6">
        <v>11.11</v>
      </c>
      <c r="R32" s="63">
        <v>1.75</v>
      </c>
      <c r="S32" s="65">
        <v>0.33770454545454542</v>
      </c>
      <c r="T32" s="63">
        <v>1.5</v>
      </c>
      <c r="U32" s="65">
        <v>0.28030303030303028</v>
      </c>
      <c r="V32" s="63">
        <v>2</v>
      </c>
      <c r="W32" s="65">
        <v>0.19121447028423774</v>
      </c>
      <c r="X32" s="63">
        <v>1</v>
      </c>
      <c r="Y32" s="63">
        <v>13.5</v>
      </c>
      <c r="Z32" s="6" t="s">
        <v>223</v>
      </c>
      <c r="AA32" s="63">
        <v>0.25</v>
      </c>
      <c r="AB32" s="63">
        <v>16.963759873546675</v>
      </c>
      <c r="AC32" s="63">
        <v>1.5</v>
      </c>
      <c r="AD32" s="65">
        <v>0</v>
      </c>
      <c r="AE32" s="63">
        <v>2.25</v>
      </c>
      <c r="AF32" s="63">
        <v>4</v>
      </c>
      <c r="AG32" s="66">
        <v>17.5</v>
      </c>
      <c r="AH32" s="31"/>
      <c r="AI32" s="31"/>
      <c r="AJ32" s="32"/>
      <c r="AK32" s="33"/>
    </row>
    <row r="33" spans="1:37" x14ac:dyDescent="0.3">
      <c r="B33" s="62" t="s">
        <v>249</v>
      </c>
      <c r="C33" s="6">
        <v>2430</v>
      </c>
      <c r="D33" s="63">
        <v>1</v>
      </c>
      <c r="E33" s="64">
        <v>0.94847775175644033</v>
      </c>
      <c r="F33" s="63">
        <v>0.75</v>
      </c>
      <c r="G33" s="63">
        <v>48.697394789579157</v>
      </c>
      <c r="H33" s="63">
        <v>0.5</v>
      </c>
      <c r="I33" s="65">
        <v>0.14115226337448561</v>
      </c>
      <c r="J33" s="63">
        <v>1</v>
      </c>
      <c r="K33" s="63">
        <v>32</v>
      </c>
      <c r="L33" s="63">
        <v>1.5</v>
      </c>
      <c r="M33" s="63">
        <v>101.99501246882794</v>
      </c>
      <c r="N33" s="63">
        <v>1</v>
      </c>
      <c r="O33" s="65">
        <v>0.16502057613168725</v>
      </c>
      <c r="P33" s="63">
        <v>1.5</v>
      </c>
      <c r="Q33" s="6">
        <v>9.01</v>
      </c>
      <c r="R33" s="63">
        <v>1</v>
      </c>
      <c r="S33" s="65">
        <v>0.39997432098765429</v>
      </c>
      <c r="T33" s="63">
        <v>1.25</v>
      </c>
      <c r="U33" s="65">
        <v>0.46141975308641975</v>
      </c>
      <c r="V33" s="63">
        <v>1.5</v>
      </c>
      <c r="W33" s="65">
        <v>0.15531914893617021</v>
      </c>
      <c r="X33" s="63">
        <v>1</v>
      </c>
      <c r="Y33" s="63">
        <v>12</v>
      </c>
      <c r="Z33" s="6" t="s">
        <v>225</v>
      </c>
      <c r="AA33" s="63">
        <v>0</v>
      </c>
      <c r="AB33" s="63">
        <v>16.315833600111468</v>
      </c>
      <c r="AC33" s="63">
        <v>1.5</v>
      </c>
      <c r="AD33" s="65">
        <v>0.27515030060120244</v>
      </c>
      <c r="AE33" s="63">
        <v>3.25</v>
      </c>
      <c r="AF33" s="63">
        <v>4.75</v>
      </c>
      <c r="AG33" s="66">
        <v>16.75</v>
      </c>
      <c r="AH33" s="31"/>
      <c r="AI33" s="31"/>
      <c r="AJ33" s="32"/>
      <c r="AK33" s="33"/>
    </row>
    <row r="34" spans="1:37" ht="15" thickBot="1" x14ac:dyDescent="0.35">
      <c r="B34" s="67" t="s">
        <v>250</v>
      </c>
      <c r="C34" s="24">
        <v>2883</v>
      </c>
      <c r="D34" s="68">
        <v>1</v>
      </c>
      <c r="E34" s="69">
        <v>0.96196196196196193</v>
      </c>
      <c r="F34" s="68">
        <v>0.75</v>
      </c>
      <c r="G34" s="68">
        <v>61.602564102564109</v>
      </c>
      <c r="H34" s="68">
        <v>0.25</v>
      </c>
      <c r="I34" s="70">
        <v>0.16614637530350329</v>
      </c>
      <c r="J34" s="68">
        <v>0.75</v>
      </c>
      <c r="K34" s="68">
        <v>25.6</v>
      </c>
      <c r="L34" s="68">
        <v>1.25</v>
      </c>
      <c r="M34" s="68">
        <v>102.17391304347827</v>
      </c>
      <c r="N34" s="68">
        <v>1</v>
      </c>
      <c r="O34" s="70">
        <v>0.25563648976760317</v>
      </c>
      <c r="P34" s="68">
        <v>2</v>
      </c>
      <c r="Q34" s="24">
        <v>10.050000000000001</v>
      </c>
      <c r="R34" s="68">
        <v>1.75</v>
      </c>
      <c r="S34" s="70">
        <v>0.40657648283038506</v>
      </c>
      <c r="T34" s="68">
        <v>1</v>
      </c>
      <c r="U34" s="70">
        <v>0.51829691293791191</v>
      </c>
      <c r="V34" s="68">
        <v>1.5</v>
      </c>
      <c r="W34" s="70">
        <v>0.14284711990458152</v>
      </c>
      <c r="X34" s="68">
        <v>1</v>
      </c>
      <c r="Y34" s="68">
        <v>12.25</v>
      </c>
      <c r="Z34" s="24" t="s">
        <v>225</v>
      </c>
      <c r="AA34" s="68">
        <v>0</v>
      </c>
      <c r="AB34" s="68">
        <v>26.441012261874555</v>
      </c>
      <c r="AC34" s="68">
        <v>1.5</v>
      </c>
      <c r="AD34" s="70">
        <v>6.623931623931624E-2</v>
      </c>
      <c r="AE34" s="68">
        <v>2.25</v>
      </c>
      <c r="AF34" s="68">
        <v>3.75</v>
      </c>
      <c r="AG34" s="71">
        <v>16</v>
      </c>
      <c r="AH34" s="31"/>
      <c r="AI34" s="31"/>
      <c r="AJ34" s="32"/>
      <c r="AK34" s="33"/>
    </row>
    <row r="35" spans="1:37" x14ac:dyDescent="0.3">
      <c r="B35" s="37" t="s">
        <v>179</v>
      </c>
      <c r="AF35" s="33"/>
      <c r="AG35" s="33">
        <f>MROUND(AH35,0.25)</f>
        <v>15.25</v>
      </c>
      <c r="AH35" s="31">
        <f>AVERAGE(AG7:AG34)</f>
        <v>15.196428571428571</v>
      </c>
    </row>
    <row r="36" spans="1:37" x14ac:dyDescent="0.3">
      <c r="B36">
        <v>1</v>
      </c>
      <c r="C36" s="38">
        <v>2</v>
      </c>
      <c r="D36" s="40">
        <v>3</v>
      </c>
      <c r="E36">
        <v>4</v>
      </c>
      <c r="F36" s="41">
        <v>5</v>
      </c>
      <c r="G36" s="39">
        <v>6</v>
      </c>
      <c r="H36">
        <v>7</v>
      </c>
      <c r="I36" s="38">
        <v>8</v>
      </c>
      <c r="J36" s="39">
        <v>9</v>
      </c>
      <c r="K36">
        <v>10</v>
      </c>
      <c r="L36" s="38">
        <v>11</v>
      </c>
      <c r="M36" s="39">
        <v>12</v>
      </c>
      <c r="N36">
        <v>13</v>
      </c>
      <c r="O36" s="38">
        <v>14</v>
      </c>
      <c r="P36" s="39">
        <v>15</v>
      </c>
      <c r="Q36">
        <v>16</v>
      </c>
      <c r="R36" s="38">
        <v>17</v>
      </c>
      <c r="S36" s="39">
        <v>18</v>
      </c>
      <c r="T36">
        <v>19</v>
      </c>
      <c r="U36" s="38">
        <v>20</v>
      </c>
      <c r="V36" s="39">
        <v>21</v>
      </c>
      <c r="W36">
        <v>22</v>
      </c>
      <c r="X36" s="38">
        <v>23</v>
      </c>
      <c r="Y36" s="39">
        <v>24</v>
      </c>
      <c r="Z36">
        <v>25</v>
      </c>
      <c r="AA36" s="38">
        <v>26</v>
      </c>
      <c r="AB36" s="39">
        <v>27</v>
      </c>
      <c r="AC36">
        <v>28</v>
      </c>
      <c r="AD36" s="38">
        <v>29</v>
      </c>
      <c r="AE36" s="39">
        <v>30</v>
      </c>
      <c r="AF36">
        <v>31</v>
      </c>
      <c r="AG36" s="38">
        <v>32</v>
      </c>
    </row>
    <row r="38" spans="1:37" ht="24" customHeight="1" x14ac:dyDescent="0.3">
      <c r="A38" s="369" t="s">
        <v>26</v>
      </c>
      <c r="B38" s="370"/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370"/>
      <c r="U38" s="370"/>
      <c r="V38" s="370"/>
      <c r="W38" s="370"/>
      <c r="X38" s="370"/>
    </row>
    <row r="39" spans="1:37" ht="15" thickBot="1" x14ac:dyDescent="0.35"/>
    <row r="40" spans="1:37" ht="15" thickBot="1" x14ac:dyDescent="0.35">
      <c r="B40" s="16" t="s">
        <v>29</v>
      </c>
      <c r="C40" s="17" t="s">
        <v>30</v>
      </c>
      <c r="D40" s="17" t="s">
        <v>36</v>
      </c>
      <c r="E40" s="17" t="s">
        <v>31</v>
      </c>
      <c r="F40" s="18" t="s">
        <v>32</v>
      </c>
      <c r="AE40" s="27"/>
      <c r="AF40" s="15"/>
    </row>
    <row r="41" spans="1:37" ht="30" customHeight="1" x14ac:dyDescent="0.3">
      <c r="B41" s="351" t="s">
        <v>33</v>
      </c>
      <c r="C41" s="348" t="s">
        <v>34</v>
      </c>
      <c r="D41" s="360" t="s">
        <v>269</v>
      </c>
      <c r="E41" s="10" t="s">
        <v>270</v>
      </c>
      <c r="F41" s="11">
        <v>2</v>
      </c>
      <c r="AE41" s="27"/>
    </row>
    <row r="42" spans="1:37" ht="30" customHeight="1" x14ac:dyDescent="0.3">
      <c r="B42" s="352"/>
      <c r="C42" s="349"/>
      <c r="D42" s="361"/>
      <c r="E42" s="35" t="s">
        <v>280</v>
      </c>
      <c r="F42" s="36">
        <v>2</v>
      </c>
      <c r="AE42" s="27"/>
    </row>
    <row r="43" spans="1:37" ht="30" customHeight="1" x14ac:dyDescent="0.3">
      <c r="B43" s="352"/>
      <c r="C43" s="350"/>
      <c r="D43" s="349"/>
      <c r="E43" s="8" t="s">
        <v>271</v>
      </c>
      <c r="F43" s="12">
        <v>0</v>
      </c>
      <c r="AE43" s="27"/>
    </row>
    <row r="44" spans="1:37" ht="30" customHeight="1" x14ac:dyDescent="0.3">
      <c r="B44" s="352"/>
      <c r="C44" s="350"/>
      <c r="D44" s="362" t="s">
        <v>273</v>
      </c>
      <c r="E44" s="8" t="s">
        <v>274</v>
      </c>
      <c r="F44" s="12">
        <v>2</v>
      </c>
      <c r="AE44" s="27"/>
    </row>
    <row r="45" spans="1:37" ht="30" customHeight="1" x14ac:dyDescent="0.3">
      <c r="B45" s="352"/>
      <c r="C45" s="350"/>
      <c r="D45" s="361"/>
      <c r="E45" s="8" t="s">
        <v>275</v>
      </c>
      <c r="F45" s="12">
        <v>1</v>
      </c>
      <c r="AE45" s="27"/>
    </row>
    <row r="46" spans="1:37" ht="30" customHeight="1" thickBot="1" x14ac:dyDescent="0.35">
      <c r="B46" s="352"/>
      <c r="C46" s="350"/>
      <c r="D46" s="349"/>
      <c r="E46" s="8" t="s">
        <v>272</v>
      </c>
      <c r="F46" s="12">
        <v>0</v>
      </c>
      <c r="AE46" s="27"/>
    </row>
    <row r="47" spans="1:37" ht="30" customHeight="1" x14ac:dyDescent="0.3">
      <c r="B47" s="345" t="s">
        <v>35</v>
      </c>
      <c r="C47" s="353" t="s">
        <v>104</v>
      </c>
      <c r="D47" s="360" t="s">
        <v>277</v>
      </c>
      <c r="E47" s="10" t="s">
        <v>278</v>
      </c>
      <c r="F47" s="11">
        <v>2</v>
      </c>
      <c r="AE47" s="27"/>
      <c r="AF47" s="34"/>
    </row>
    <row r="48" spans="1:37" ht="30" customHeight="1" x14ac:dyDescent="0.3">
      <c r="B48" s="358"/>
      <c r="C48" s="354"/>
      <c r="D48" s="361"/>
      <c r="E48" s="35" t="s">
        <v>279</v>
      </c>
      <c r="F48" s="36">
        <v>2</v>
      </c>
      <c r="AE48" s="27"/>
      <c r="AF48" s="34"/>
    </row>
    <row r="49" spans="2:32" ht="30" customHeight="1" x14ac:dyDescent="0.3">
      <c r="B49" s="346"/>
      <c r="C49" s="355"/>
      <c r="D49" s="349"/>
      <c r="E49" s="8" t="s">
        <v>281</v>
      </c>
      <c r="F49" s="12">
        <v>0</v>
      </c>
      <c r="AE49" s="27"/>
      <c r="AF49" s="34"/>
    </row>
    <row r="50" spans="2:32" ht="30" customHeight="1" x14ac:dyDescent="0.3">
      <c r="B50" s="346"/>
      <c r="C50" s="355"/>
      <c r="D50" s="362" t="s">
        <v>276</v>
      </c>
      <c r="E50" s="8" t="s">
        <v>274</v>
      </c>
      <c r="F50" s="12">
        <v>2</v>
      </c>
      <c r="AE50" s="27"/>
      <c r="AF50" s="34"/>
    </row>
    <row r="51" spans="2:32" ht="30" customHeight="1" x14ac:dyDescent="0.3">
      <c r="B51" s="359"/>
      <c r="C51" s="356"/>
      <c r="D51" s="361"/>
      <c r="E51" s="8" t="s">
        <v>275</v>
      </c>
      <c r="F51" s="23">
        <v>1</v>
      </c>
      <c r="AE51" s="27"/>
      <c r="AF51" s="34"/>
    </row>
    <row r="52" spans="2:32" ht="30" customHeight="1" thickBot="1" x14ac:dyDescent="0.35">
      <c r="B52" s="347"/>
      <c r="C52" s="357"/>
      <c r="D52" s="367"/>
      <c r="E52" s="8" t="s">
        <v>337</v>
      </c>
      <c r="F52" s="14">
        <v>0</v>
      </c>
    </row>
    <row r="53" spans="2:32" ht="15" customHeight="1" x14ac:dyDescent="0.3">
      <c r="B53" s="345" t="s">
        <v>38</v>
      </c>
      <c r="C53" s="348" t="s">
        <v>37</v>
      </c>
      <c r="D53" s="360" t="s">
        <v>284</v>
      </c>
      <c r="E53" s="10" t="s">
        <v>285</v>
      </c>
      <c r="F53" s="11">
        <v>2</v>
      </c>
    </row>
    <row r="54" spans="2:32" ht="15" customHeight="1" x14ac:dyDescent="0.3">
      <c r="B54" s="358"/>
      <c r="C54" s="349"/>
      <c r="D54" s="361"/>
      <c r="E54" s="35" t="s">
        <v>286</v>
      </c>
      <c r="F54" s="36">
        <v>2</v>
      </c>
    </row>
    <row r="55" spans="2:32" x14ac:dyDescent="0.3">
      <c r="B55" s="346"/>
      <c r="C55" s="350"/>
      <c r="D55" s="349"/>
      <c r="E55" s="8" t="s">
        <v>287</v>
      </c>
      <c r="F55" s="12">
        <v>0</v>
      </c>
    </row>
    <row r="56" spans="2:32" x14ac:dyDescent="0.3">
      <c r="B56" s="359"/>
      <c r="C56" s="362"/>
      <c r="D56" s="362" t="s">
        <v>283</v>
      </c>
      <c r="E56" s="8" t="s">
        <v>288</v>
      </c>
      <c r="F56" s="12">
        <v>2</v>
      </c>
    </row>
    <row r="57" spans="2:32" x14ac:dyDescent="0.3">
      <c r="B57" s="359"/>
      <c r="C57" s="362"/>
      <c r="D57" s="361"/>
      <c r="E57" s="8" t="s">
        <v>289</v>
      </c>
      <c r="F57" s="23">
        <v>1</v>
      </c>
    </row>
    <row r="58" spans="2:32" ht="15" thickBot="1" x14ac:dyDescent="0.35">
      <c r="B58" s="347"/>
      <c r="C58" s="368"/>
      <c r="D58" s="367"/>
      <c r="E58" s="8" t="s">
        <v>290</v>
      </c>
      <c r="F58" s="14">
        <v>0</v>
      </c>
    </row>
    <row r="59" spans="2:32" x14ac:dyDescent="0.3">
      <c r="B59" s="345" t="s">
        <v>43</v>
      </c>
      <c r="C59" s="348" t="s">
        <v>44</v>
      </c>
      <c r="D59" s="353" t="s">
        <v>42</v>
      </c>
      <c r="E59" s="10" t="s">
        <v>105</v>
      </c>
      <c r="F59" s="11">
        <v>0</v>
      </c>
    </row>
    <row r="60" spans="2:32" x14ac:dyDescent="0.3">
      <c r="B60" s="346"/>
      <c r="C60" s="350"/>
      <c r="D60" s="355"/>
      <c r="E60" s="8" t="s">
        <v>39</v>
      </c>
      <c r="F60" s="12">
        <v>1</v>
      </c>
    </row>
    <row r="61" spans="2:32" x14ac:dyDescent="0.3">
      <c r="B61" s="346"/>
      <c r="C61" s="350"/>
      <c r="D61" s="355"/>
      <c r="E61" s="8" t="s">
        <v>40</v>
      </c>
      <c r="F61" s="12">
        <v>2</v>
      </c>
    </row>
    <row r="62" spans="2:32" ht="15" thickBot="1" x14ac:dyDescent="0.35">
      <c r="B62" s="347"/>
      <c r="C62" s="368"/>
      <c r="D62" s="357"/>
      <c r="E62" s="13" t="s">
        <v>41</v>
      </c>
      <c r="F62" s="14">
        <v>3</v>
      </c>
    </row>
    <row r="64" spans="2:32" ht="15" thickBot="1" x14ac:dyDescent="0.35"/>
    <row r="65" spans="2:6" ht="15" thickBot="1" x14ac:dyDescent="0.35">
      <c r="B65" s="19" t="s">
        <v>29</v>
      </c>
      <c r="C65" s="20" t="s">
        <v>30</v>
      </c>
      <c r="D65" s="20" t="s">
        <v>36</v>
      </c>
      <c r="E65" s="20" t="s">
        <v>31</v>
      </c>
      <c r="F65" s="21" t="s">
        <v>32</v>
      </c>
    </row>
    <row r="66" spans="2:6" x14ac:dyDescent="0.3">
      <c r="B66" s="375" t="s">
        <v>107</v>
      </c>
      <c r="C66" s="353" t="s">
        <v>291</v>
      </c>
      <c r="D66" s="353" t="s">
        <v>292</v>
      </c>
      <c r="E66" s="22" t="s">
        <v>102</v>
      </c>
      <c r="F66" s="11">
        <v>10</v>
      </c>
    </row>
    <row r="67" spans="2:6" ht="15" thickBot="1" x14ac:dyDescent="0.35">
      <c r="B67" s="376"/>
      <c r="C67" s="355"/>
      <c r="D67" s="355"/>
      <c r="E67" s="6" t="s">
        <v>103</v>
      </c>
      <c r="F67" s="12">
        <v>0</v>
      </c>
    </row>
    <row r="68" spans="2:6" x14ac:dyDescent="0.3">
      <c r="B68" s="351" t="s">
        <v>111</v>
      </c>
      <c r="C68" s="377" t="s">
        <v>108</v>
      </c>
      <c r="D68" s="353" t="s">
        <v>295</v>
      </c>
      <c r="E68" s="22" t="s">
        <v>294</v>
      </c>
      <c r="F68" s="11">
        <v>5</v>
      </c>
    </row>
    <row r="69" spans="2:6" x14ac:dyDescent="0.3">
      <c r="B69" s="352"/>
      <c r="C69" s="378"/>
      <c r="D69" s="354"/>
      <c r="E69" s="57" t="s">
        <v>296</v>
      </c>
      <c r="F69" s="36">
        <v>3</v>
      </c>
    </row>
    <row r="70" spans="2:6" x14ac:dyDescent="0.3">
      <c r="B70" s="352"/>
      <c r="C70" s="379"/>
      <c r="D70" s="355"/>
      <c r="E70" s="6" t="s">
        <v>103</v>
      </c>
      <c r="F70" s="12">
        <v>0</v>
      </c>
    </row>
    <row r="71" spans="2:6" x14ac:dyDescent="0.3">
      <c r="B71" s="352"/>
      <c r="C71" s="379" t="s">
        <v>109</v>
      </c>
      <c r="D71" s="355" t="s">
        <v>110</v>
      </c>
      <c r="E71" s="6" t="s">
        <v>102</v>
      </c>
      <c r="F71" s="12">
        <v>5</v>
      </c>
    </row>
    <row r="72" spans="2:6" ht="42.75" customHeight="1" thickBot="1" x14ac:dyDescent="0.35">
      <c r="B72" s="381"/>
      <c r="C72" s="380"/>
      <c r="D72" s="357"/>
      <c r="E72" s="24" t="s">
        <v>103</v>
      </c>
      <c r="F72" s="14">
        <v>0</v>
      </c>
    </row>
    <row r="73" spans="2:6" ht="15" customHeight="1" x14ac:dyDescent="0.3">
      <c r="B73" s="345" t="s">
        <v>112</v>
      </c>
      <c r="C73" s="353" t="s">
        <v>113</v>
      </c>
      <c r="D73" s="353" t="s">
        <v>255</v>
      </c>
      <c r="E73" s="22" t="s">
        <v>149</v>
      </c>
      <c r="F73" s="11">
        <v>0</v>
      </c>
    </row>
    <row r="74" spans="2:6" ht="15" customHeight="1" x14ac:dyDescent="0.3">
      <c r="B74" s="358"/>
      <c r="C74" s="354"/>
      <c r="D74" s="354"/>
      <c r="E74" s="57" t="s">
        <v>252</v>
      </c>
      <c r="F74" s="36">
        <v>3</v>
      </c>
    </row>
    <row r="75" spans="2:6" ht="15" customHeight="1" x14ac:dyDescent="0.3">
      <c r="B75" s="358"/>
      <c r="C75" s="354"/>
      <c r="D75" s="354"/>
      <c r="E75" s="57" t="s">
        <v>253</v>
      </c>
      <c r="F75" s="36">
        <v>3</v>
      </c>
    </row>
    <row r="76" spans="2:6" x14ac:dyDescent="0.3">
      <c r="B76" s="346"/>
      <c r="C76" s="355"/>
      <c r="D76" s="355"/>
      <c r="E76" s="6" t="s">
        <v>254</v>
      </c>
      <c r="F76" s="12">
        <v>5</v>
      </c>
    </row>
    <row r="77" spans="2:6" x14ac:dyDescent="0.3">
      <c r="B77" s="346"/>
      <c r="C77" s="355"/>
      <c r="D77" s="355" t="s">
        <v>256</v>
      </c>
      <c r="E77" s="6" t="s">
        <v>257</v>
      </c>
      <c r="F77" s="12">
        <v>0</v>
      </c>
    </row>
    <row r="78" spans="2:6" x14ac:dyDescent="0.3">
      <c r="B78" s="346"/>
      <c r="C78" s="355"/>
      <c r="D78" s="355"/>
      <c r="E78" s="6" t="s">
        <v>116</v>
      </c>
      <c r="F78" s="12">
        <v>2</v>
      </c>
    </row>
    <row r="79" spans="2:6" x14ac:dyDescent="0.3">
      <c r="B79" s="346"/>
      <c r="C79" s="355"/>
      <c r="D79" s="355"/>
      <c r="E79" s="6" t="s">
        <v>115</v>
      </c>
      <c r="F79" s="12">
        <v>5</v>
      </c>
    </row>
    <row r="80" spans="2:6" x14ac:dyDescent="0.3">
      <c r="B80" s="346"/>
      <c r="C80" s="362" t="s">
        <v>114</v>
      </c>
      <c r="D80" s="356" t="s">
        <v>148</v>
      </c>
      <c r="E80" s="6" t="s">
        <v>115</v>
      </c>
      <c r="F80" s="12">
        <v>2</v>
      </c>
    </row>
    <row r="81" spans="2:6" x14ac:dyDescent="0.3">
      <c r="B81" s="346"/>
      <c r="C81" s="361"/>
      <c r="D81" s="374"/>
      <c r="E81" s="6" t="s">
        <v>116</v>
      </c>
      <c r="F81" s="12">
        <v>1</v>
      </c>
    </row>
    <row r="82" spans="2:6" x14ac:dyDescent="0.3">
      <c r="B82" s="346"/>
      <c r="C82" s="361"/>
      <c r="D82" s="354"/>
      <c r="E82" s="6" t="s">
        <v>117</v>
      </c>
      <c r="F82" s="12">
        <v>0</v>
      </c>
    </row>
    <row r="83" spans="2:6" x14ac:dyDescent="0.3">
      <c r="B83" s="346"/>
      <c r="C83" s="361"/>
      <c r="D83" s="355" t="s">
        <v>147</v>
      </c>
      <c r="E83" s="6" t="s">
        <v>115</v>
      </c>
      <c r="F83" s="12">
        <v>2</v>
      </c>
    </row>
    <row r="84" spans="2:6" x14ac:dyDescent="0.3">
      <c r="B84" s="346"/>
      <c r="C84" s="361"/>
      <c r="D84" s="355"/>
      <c r="E84" s="6" t="s">
        <v>116</v>
      </c>
      <c r="F84" s="12">
        <v>1</v>
      </c>
    </row>
    <row r="85" spans="2:6" ht="15" thickBot="1" x14ac:dyDescent="0.35">
      <c r="B85" s="347"/>
      <c r="C85" s="367"/>
      <c r="D85" s="357"/>
      <c r="E85" s="24" t="s">
        <v>149</v>
      </c>
      <c r="F85" s="14">
        <v>0</v>
      </c>
    </row>
    <row r="87" spans="2:6" ht="15" thickBot="1" x14ac:dyDescent="0.35"/>
    <row r="88" spans="2:6" ht="15" thickBot="1" x14ac:dyDescent="0.35">
      <c r="B88" s="19" t="s">
        <v>29</v>
      </c>
      <c r="C88" s="20" t="s">
        <v>30</v>
      </c>
      <c r="D88" s="20" t="s">
        <v>36</v>
      </c>
      <c r="E88" s="20" t="s">
        <v>31</v>
      </c>
      <c r="F88" s="21" t="s">
        <v>32</v>
      </c>
    </row>
    <row r="89" spans="2:6" ht="15" customHeight="1" x14ac:dyDescent="0.3">
      <c r="B89" s="345" t="s">
        <v>118</v>
      </c>
      <c r="C89" s="377" t="s">
        <v>119</v>
      </c>
      <c r="D89" s="353" t="s">
        <v>120</v>
      </c>
      <c r="E89" s="22" t="s">
        <v>302</v>
      </c>
      <c r="F89" s="11">
        <v>1</v>
      </c>
    </row>
    <row r="90" spans="2:6" ht="15" customHeight="1" x14ac:dyDescent="0.3">
      <c r="B90" s="358"/>
      <c r="C90" s="378"/>
      <c r="D90" s="354"/>
      <c r="E90" s="57" t="s">
        <v>303</v>
      </c>
      <c r="F90" s="36">
        <v>1</v>
      </c>
    </row>
    <row r="91" spans="2:6" ht="15" customHeight="1" x14ac:dyDescent="0.3">
      <c r="B91" s="358"/>
      <c r="C91" s="378"/>
      <c r="D91" s="354"/>
      <c r="E91" s="57" t="s">
        <v>102</v>
      </c>
      <c r="F91" s="36">
        <v>2</v>
      </c>
    </row>
    <row r="92" spans="2:6" x14ac:dyDescent="0.3">
      <c r="B92" s="346"/>
      <c r="C92" s="379"/>
      <c r="D92" s="355"/>
      <c r="E92" s="6" t="s">
        <v>301</v>
      </c>
      <c r="F92" s="12">
        <v>0</v>
      </c>
    </row>
    <row r="93" spans="2:6" ht="15" customHeight="1" x14ac:dyDescent="0.3">
      <c r="B93" s="346"/>
      <c r="C93" s="355" t="s">
        <v>75</v>
      </c>
      <c r="D93" s="355" t="s">
        <v>121</v>
      </c>
      <c r="E93" s="6" t="s">
        <v>102</v>
      </c>
      <c r="F93" s="12">
        <v>3</v>
      </c>
    </row>
    <row r="94" spans="2:6" x14ac:dyDescent="0.3">
      <c r="B94" s="346"/>
      <c r="C94" s="355"/>
      <c r="D94" s="355"/>
      <c r="E94" s="6" t="s">
        <v>103</v>
      </c>
      <c r="F94" s="12">
        <v>0</v>
      </c>
    </row>
    <row r="95" spans="2:6" x14ac:dyDescent="0.3">
      <c r="B95" s="346"/>
      <c r="C95" s="355"/>
      <c r="D95" s="355" t="s">
        <v>122</v>
      </c>
      <c r="E95" s="6" t="s">
        <v>102</v>
      </c>
      <c r="F95" s="12">
        <v>3</v>
      </c>
    </row>
    <row r="96" spans="2:6" x14ac:dyDescent="0.3">
      <c r="B96" s="346"/>
      <c r="C96" s="355"/>
      <c r="D96" s="355"/>
      <c r="E96" s="6" t="s">
        <v>103</v>
      </c>
      <c r="F96" s="12">
        <v>0</v>
      </c>
    </row>
    <row r="97" spans="2:6" x14ac:dyDescent="0.3">
      <c r="B97" s="346"/>
      <c r="C97" s="355"/>
      <c r="D97" s="355" t="s">
        <v>123</v>
      </c>
      <c r="E97" s="6" t="s">
        <v>102</v>
      </c>
      <c r="F97" s="12">
        <v>3</v>
      </c>
    </row>
    <row r="98" spans="2:6" ht="15" thickBot="1" x14ac:dyDescent="0.35">
      <c r="B98" s="359"/>
      <c r="C98" s="356"/>
      <c r="D98" s="356"/>
      <c r="E98" s="7" t="s">
        <v>103</v>
      </c>
      <c r="F98" s="23">
        <v>0</v>
      </c>
    </row>
    <row r="99" spans="2:6" ht="15" customHeight="1" x14ac:dyDescent="0.3">
      <c r="B99" s="345" t="s">
        <v>126</v>
      </c>
      <c r="C99" s="377" t="s">
        <v>124</v>
      </c>
      <c r="D99" s="353" t="s">
        <v>77</v>
      </c>
      <c r="E99" s="22" t="s">
        <v>102</v>
      </c>
      <c r="F99" s="11">
        <v>2</v>
      </c>
    </row>
    <row r="100" spans="2:6" ht="15.75" customHeight="1" x14ac:dyDescent="0.3">
      <c r="B100" s="346"/>
      <c r="C100" s="379"/>
      <c r="D100" s="355"/>
      <c r="E100" s="6" t="s">
        <v>103</v>
      </c>
      <c r="F100" s="12">
        <v>0</v>
      </c>
    </row>
    <row r="101" spans="2:6" ht="15" customHeight="1" x14ac:dyDescent="0.3">
      <c r="B101" s="346"/>
      <c r="C101" s="379"/>
      <c r="D101" s="355" t="s">
        <v>78</v>
      </c>
      <c r="E101" s="6" t="s">
        <v>102</v>
      </c>
      <c r="F101" s="12">
        <v>2</v>
      </c>
    </row>
    <row r="102" spans="2:6" ht="15.75" customHeight="1" x14ac:dyDescent="0.3">
      <c r="B102" s="346"/>
      <c r="C102" s="379"/>
      <c r="D102" s="355"/>
      <c r="E102" s="6" t="s">
        <v>103</v>
      </c>
      <c r="F102" s="12">
        <v>0</v>
      </c>
    </row>
    <row r="103" spans="2:6" x14ac:dyDescent="0.3">
      <c r="B103" s="346"/>
      <c r="C103" s="379"/>
      <c r="D103" s="355" t="s">
        <v>79</v>
      </c>
      <c r="E103" s="6" t="s">
        <v>102</v>
      </c>
      <c r="F103" s="12">
        <v>2</v>
      </c>
    </row>
    <row r="104" spans="2:6" x14ac:dyDescent="0.3">
      <c r="B104" s="346"/>
      <c r="C104" s="379"/>
      <c r="D104" s="355"/>
      <c r="E104" s="6" t="s">
        <v>103</v>
      </c>
      <c r="F104" s="12">
        <v>0</v>
      </c>
    </row>
    <row r="105" spans="2:6" x14ac:dyDescent="0.3">
      <c r="B105" s="346"/>
      <c r="C105" s="379"/>
      <c r="D105" s="355" t="s">
        <v>80</v>
      </c>
      <c r="E105" s="6" t="s">
        <v>102</v>
      </c>
      <c r="F105" s="12">
        <v>1</v>
      </c>
    </row>
    <row r="106" spans="2:6" x14ac:dyDescent="0.3">
      <c r="B106" s="346"/>
      <c r="C106" s="379"/>
      <c r="D106" s="355"/>
      <c r="E106" s="6" t="s">
        <v>103</v>
      </c>
      <c r="F106" s="12">
        <v>0</v>
      </c>
    </row>
    <row r="107" spans="2:6" x14ac:dyDescent="0.3">
      <c r="B107" s="346"/>
      <c r="C107" s="379" t="s">
        <v>125</v>
      </c>
      <c r="D107" s="355" t="s">
        <v>85</v>
      </c>
      <c r="E107" s="6" t="s">
        <v>102</v>
      </c>
      <c r="F107" s="12">
        <v>3</v>
      </c>
    </row>
    <row r="108" spans="2:6" ht="15" thickBot="1" x14ac:dyDescent="0.35">
      <c r="B108" s="359"/>
      <c r="C108" s="382"/>
      <c r="D108" s="356"/>
      <c r="E108" s="7" t="s">
        <v>103</v>
      </c>
      <c r="F108" s="23">
        <v>0</v>
      </c>
    </row>
    <row r="109" spans="2:6" x14ac:dyDescent="0.3">
      <c r="B109" s="345" t="s">
        <v>127</v>
      </c>
      <c r="C109" s="377" t="s">
        <v>87</v>
      </c>
      <c r="D109" s="353" t="s">
        <v>132</v>
      </c>
      <c r="E109" s="22" t="s">
        <v>102</v>
      </c>
      <c r="F109" s="11">
        <v>4</v>
      </c>
    </row>
    <row r="110" spans="2:6" x14ac:dyDescent="0.3">
      <c r="B110" s="346"/>
      <c r="C110" s="379"/>
      <c r="D110" s="355"/>
      <c r="E110" s="6" t="s">
        <v>103</v>
      </c>
      <c r="F110" s="12">
        <v>0</v>
      </c>
    </row>
    <row r="111" spans="2:6" x14ac:dyDescent="0.3">
      <c r="B111" s="346"/>
      <c r="C111" s="379"/>
      <c r="D111" s="355" t="s">
        <v>128</v>
      </c>
      <c r="E111" s="6" t="s">
        <v>102</v>
      </c>
      <c r="F111" s="12">
        <v>4</v>
      </c>
    </row>
    <row r="112" spans="2:6" x14ac:dyDescent="0.3">
      <c r="B112" s="346"/>
      <c r="C112" s="379"/>
      <c r="D112" s="355"/>
      <c r="E112" s="6" t="s">
        <v>103</v>
      </c>
      <c r="F112" s="12">
        <v>0</v>
      </c>
    </row>
    <row r="113" spans="2:6" x14ac:dyDescent="0.3">
      <c r="B113" s="346"/>
      <c r="C113" s="379"/>
      <c r="D113" s="355" t="s">
        <v>129</v>
      </c>
      <c r="E113" s="6" t="s">
        <v>102</v>
      </c>
      <c r="F113" s="12">
        <v>4</v>
      </c>
    </row>
    <row r="114" spans="2:6" x14ac:dyDescent="0.3">
      <c r="B114" s="346"/>
      <c r="C114" s="379"/>
      <c r="D114" s="355"/>
      <c r="E114" s="6" t="s">
        <v>103</v>
      </c>
      <c r="F114" s="12">
        <v>0</v>
      </c>
    </row>
    <row r="115" spans="2:6" x14ac:dyDescent="0.3">
      <c r="B115" s="346"/>
      <c r="C115" s="379"/>
      <c r="D115" s="355" t="s">
        <v>130</v>
      </c>
      <c r="E115" s="6" t="s">
        <v>102</v>
      </c>
      <c r="F115" s="12">
        <v>4</v>
      </c>
    </row>
    <row r="116" spans="2:6" x14ac:dyDescent="0.3">
      <c r="B116" s="346"/>
      <c r="C116" s="379"/>
      <c r="D116" s="355"/>
      <c r="E116" s="6" t="s">
        <v>103</v>
      </c>
      <c r="F116" s="12">
        <v>0</v>
      </c>
    </row>
    <row r="117" spans="2:6" x14ac:dyDescent="0.3">
      <c r="B117" s="346"/>
      <c r="C117" s="379"/>
      <c r="D117" s="355" t="s">
        <v>131</v>
      </c>
      <c r="E117" s="6" t="s">
        <v>102</v>
      </c>
      <c r="F117" s="12">
        <v>1</v>
      </c>
    </row>
    <row r="118" spans="2:6" x14ac:dyDescent="0.3">
      <c r="B118" s="346"/>
      <c r="C118" s="379"/>
      <c r="D118" s="355"/>
      <c r="E118" s="6" t="s">
        <v>103</v>
      </c>
      <c r="F118" s="12">
        <v>0</v>
      </c>
    </row>
    <row r="119" spans="2:6" x14ac:dyDescent="0.3">
      <c r="B119" s="346"/>
      <c r="C119" s="379" t="s">
        <v>88</v>
      </c>
      <c r="D119" s="355" t="s">
        <v>89</v>
      </c>
      <c r="E119" s="6" t="s">
        <v>102</v>
      </c>
      <c r="F119" s="12">
        <v>4</v>
      </c>
    </row>
    <row r="120" spans="2:6" x14ac:dyDescent="0.3">
      <c r="B120" s="346"/>
      <c r="C120" s="379"/>
      <c r="D120" s="355"/>
      <c r="E120" s="6" t="s">
        <v>103</v>
      </c>
      <c r="F120" s="12">
        <v>0</v>
      </c>
    </row>
    <row r="121" spans="2:6" x14ac:dyDescent="0.3">
      <c r="B121" s="346"/>
      <c r="C121" s="379"/>
      <c r="D121" s="355" t="s">
        <v>90</v>
      </c>
      <c r="E121" s="6" t="s">
        <v>102</v>
      </c>
      <c r="F121" s="12">
        <v>4</v>
      </c>
    </row>
    <row r="122" spans="2:6" x14ac:dyDescent="0.3">
      <c r="B122" s="346"/>
      <c r="C122" s="379"/>
      <c r="D122" s="355"/>
      <c r="E122" s="6" t="s">
        <v>103</v>
      </c>
      <c r="F122" s="12">
        <v>0</v>
      </c>
    </row>
    <row r="123" spans="2:6" x14ac:dyDescent="0.3">
      <c r="B123" s="346"/>
      <c r="C123" s="379"/>
      <c r="D123" s="355" t="s">
        <v>91</v>
      </c>
      <c r="E123" s="6" t="s">
        <v>102</v>
      </c>
      <c r="F123" s="12">
        <v>4</v>
      </c>
    </row>
    <row r="124" spans="2:6" x14ac:dyDescent="0.3">
      <c r="B124" s="346"/>
      <c r="C124" s="379"/>
      <c r="D124" s="355"/>
      <c r="E124" s="6" t="s">
        <v>103</v>
      </c>
      <c r="F124" s="12">
        <v>0</v>
      </c>
    </row>
    <row r="125" spans="2:6" x14ac:dyDescent="0.3">
      <c r="B125" s="346"/>
      <c r="C125" s="379"/>
      <c r="D125" s="355" t="s">
        <v>92</v>
      </c>
      <c r="E125" s="6" t="s">
        <v>102</v>
      </c>
      <c r="F125" s="12">
        <v>4</v>
      </c>
    </row>
    <row r="126" spans="2:6" x14ac:dyDescent="0.3">
      <c r="B126" s="346"/>
      <c r="C126" s="379"/>
      <c r="D126" s="355"/>
      <c r="E126" s="6" t="s">
        <v>103</v>
      </c>
      <c r="F126" s="12">
        <v>0</v>
      </c>
    </row>
    <row r="127" spans="2:6" x14ac:dyDescent="0.3">
      <c r="B127" s="346"/>
      <c r="C127" s="379"/>
      <c r="D127" s="355" t="s">
        <v>93</v>
      </c>
      <c r="E127" s="6" t="s">
        <v>102</v>
      </c>
      <c r="F127" s="12">
        <v>4</v>
      </c>
    </row>
    <row r="128" spans="2:6" x14ac:dyDescent="0.3">
      <c r="B128" s="346"/>
      <c r="C128" s="379"/>
      <c r="D128" s="355"/>
      <c r="E128" s="6" t="s">
        <v>103</v>
      </c>
      <c r="F128" s="12">
        <v>0</v>
      </c>
    </row>
    <row r="129" spans="2:6" x14ac:dyDescent="0.3">
      <c r="B129" s="346"/>
      <c r="C129" s="379"/>
      <c r="D129" s="355" t="s">
        <v>94</v>
      </c>
      <c r="E129" s="6" t="s">
        <v>102</v>
      </c>
      <c r="F129" s="12">
        <v>4</v>
      </c>
    </row>
    <row r="130" spans="2:6" x14ac:dyDescent="0.3">
      <c r="B130" s="346"/>
      <c r="C130" s="379"/>
      <c r="D130" s="355"/>
      <c r="E130" s="6" t="s">
        <v>103</v>
      </c>
      <c r="F130" s="12">
        <v>0</v>
      </c>
    </row>
    <row r="131" spans="2:6" x14ac:dyDescent="0.3">
      <c r="B131" s="346"/>
      <c r="C131" s="379"/>
      <c r="D131" s="355" t="s">
        <v>95</v>
      </c>
      <c r="E131" s="6" t="s">
        <v>102</v>
      </c>
      <c r="F131" s="12">
        <v>4</v>
      </c>
    </row>
    <row r="132" spans="2:6" x14ac:dyDescent="0.3">
      <c r="B132" s="346"/>
      <c r="C132" s="379"/>
      <c r="D132" s="355"/>
      <c r="E132" s="6" t="s">
        <v>103</v>
      </c>
      <c r="F132" s="12">
        <v>0</v>
      </c>
    </row>
    <row r="133" spans="2:6" x14ac:dyDescent="0.3">
      <c r="B133" s="346"/>
      <c r="C133" s="379"/>
      <c r="D133" s="355" t="s">
        <v>96</v>
      </c>
      <c r="E133" s="6" t="s">
        <v>102</v>
      </c>
      <c r="F133" s="12">
        <v>4</v>
      </c>
    </row>
    <row r="134" spans="2:6" x14ac:dyDescent="0.3">
      <c r="B134" s="346"/>
      <c r="C134" s="379"/>
      <c r="D134" s="355"/>
      <c r="E134" s="6" t="s">
        <v>103</v>
      </c>
      <c r="F134" s="12">
        <v>0</v>
      </c>
    </row>
    <row r="135" spans="2:6" x14ac:dyDescent="0.3">
      <c r="B135" s="346"/>
      <c r="C135" s="379"/>
      <c r="D135" s="355" t="s">
        <v>134</v>
      </c>
      <c r="E135" s="6" t="s">
        <v>102</v>
      </c>
      <c r="F135" s="12">
        <v>1</v>
      </c>
    </row>
    <row r="136" spans="2:6" x14ac:dyDescent="0.3">
      <c r="B136" s="346"/>
      <c r="C136" s="379"/>
      <c r="D136" s="355"/>
      <c r="E136" s="6" t="s">
        <v>103</v>
      </c>
      <c r="F136" s="12">
        <v>0</v>
      </c>
    </row>
    <row r="137" spans="2:6" ht="15" customHeight="1" x14ac:dyDescent="0.3">
      <c r="B137" s="346"/>
      <c r="C137" s="362" t="s">
        <v>97</v>
      </c>
      <c r="D137" s="355" t="s">
        <v>260</v>
      </c>
      <c r="E137" s="6" t="s">
        <v>102</v>
      </c>
      <c r="F137" s="12">
        <v>2</v>
      </c>
    </row>
    <row r="138" spans="2:6" x14ac:dyDescent="0.3">
      <c r="B138" s="346"/>
      <c r="C138" s="361"/>
      <c r="D138" s="356"/>
      <c r="E138" s="7" t="s">
        <v>103</v>
      </c>
      <c r="F138" s="23">
        <v>0</v>
      </c>
    </row>
    <row r="139" spans="2:6" ht="15" customHeight="1" x14ac:dyDescent="0.3">
      <c r="B139" s="346"/>
      <c r="C139" s="361"/>
      <c r="D139" s="355" t="s">
        <v>262</v>
      </c>
      <c r="E139" s="6" t="s">
        <v>102</v>
      </c>
      <c r="F139" s="12">
        <v>2</v>
      </c>
    </row>
    <row r="140" spans="2:6" x14ac:dyDescent="0.3">
      <c r="B140" s="346"/>
      <c r="C140" s="361"/>
      <c r="D140" s="356"/>
      <c r="E140" s="7" t="s">
        <v>103</v>
      </c>
      <c r="F140" s="23">
        <v>0</v>
      </c>
    </row>
    <row r="141" spans="2:6" ht="15" customHeight="1" x14ac:dyDescent="0.3">
      <c r="B141" s="346"/>
      <c r="C141" s="361"/>
      <c r="D141" s="355" t="s">
        <v>261</v>
      </c>
      <c r="E141" s="6" t="s">
        <v>102</v>
      </c>
      <c r="F141" s="12">
        <v>2</v>
      </c>
    </row>
    <row r="142" spans="2:6" ht="15" thickBot="1" x14ac:dyDescent="0.35">
      <c r="B142" s="359"/>
      <c r="C142" s="367"/>
      <c r="D142" s="356"/>
      <c r="E142" s="7" t="s">
        <v>103</v>
      </c>
      <c r="F142" s="23">
        <v>0</v>
      </c>
    </row>
    <row r="143" spans="2:6" x14ac:dyDescent="0.3">
      <c r="B143" s="345" t="s">
        <v>138</v>
      </c>
      <c r="C143" s="353" t="s">
        <v>137</v>
      </c>
      <c r="D143" s="353" t="s">
        <v>136</v>
      </c>
      <c r="E143" s="22" t="s">
        <v>102</v>
      </c>
      <c r="F143" s="11">
        <v>10</v>
      </c>
    </row>
    <row r="144" spans="2:6" ht="15" thickBot="1" x14ac:dyDescent="0.35">
      <c r="B144" s="346"/>
      <c r="C144" s="355"/>
      <c r="D144" s="355"/>
      <c r="E144" s="6" t="s">
        <v>103</v>
      </c>
      <c r="F144" s="12">
        <v>0</v>
      </c>
    </row>
    <row r="145" spans="2:6" x14ac:dyDescent="0.3">
      <c r="B145" s="346"/>
      <c r="C145" s="355"/>
      <c r="D145" s="353" t="s">
        <v>310</v>
      </c>
      <c r="E145" s="6" t="s">
        <v>102</v>
      </c>
      <c r="F145" s="12">
        <v>5</v>
      </c>
    </row>
    <row r="146" spans="2:6" x14ac:dyDescent="0.3">
      <c r="B146" s="346"/>
      <c r="C146" s="355"/>
      <c r="D146" s="355"/>
      <c r="E146" s="6" t="s">
        <v>103</v>
      </c>
      <c r="F146" s="12">
        <v>0</v>
      </c>
    </row>
    <row r="147" spans="2:6" x14ac:dyDescent="0.3">
      <c r="B147" s="346"/>
      <c r="C147" s="355"/>
      <c r="D147" s="355" t="s">
        <v>98</v>
      </c>
      <c r="E147" s="6" t="s">
        <v>102</v>
      </c>
      <c r="F147" s="12">
        <v>2</v>
      </c>
    </row>
    <row r="148" spans="2:6" ht="15" thickBot="1" x14ac:dyDescent="0.35">
      <c r="B148" s="347"/>
      <c r="C148" s="357"/>
      <c r="D148" s="357"/>
      <c r="E148" s="24" t="s">
        <v>103</v>
      </c>
      <c r="F148" s="14">
        <v>0</v>
      </c>
    </row>
  </sheetData>
  <mergeCells count="104">
    <mergeCell ref="Z4:AA4"/>
    <mergeCell ref="AB4:AC4"/>
    <mergeCell ref="AD4:AE4"/>
    <mergeCell ref="AG4:AG6"/>
    <mergeCell ref="Y5:Y6"/>
    <mergeCell ref="Z5:AA5"/>
    <mergeCell ref="AB5:AC5"/>
    <mergeCell ref="AD5:AE5"/>
    <mergeCell ref="AF5:AF6"/>
    <mergeCell ref="B143:B148"/>
    <mergeCell ref="C119:C136"/>
    <mergeCell ref="D143:D144"/>
    <mergeCell ref="D147:D148"/>
    <mergeCell ref="C143:C148"/>
    <mergeCell ref="D129:D130"/>
    <mergeCell ref="D131:D132"/>
    <mergeCell ref="D133:D134"/>
    <mergeCell ref="D135:D136"/>
    <mergeCell ref="D141:D142"/>
    <mergeCell ref="D119:D120"/>
    <mergeCell ref="D121:D122"/>
    <mergeCell ref="D123:D124"/>
    <mergeCell ref="D125:D126"/>
    <mergeCell ref="D127:D128"/>
    <mergeCell ref="D139:D140"/>
    <mergeCell ref="D137:D138"/>
    <mergeCell ref="C137:C142"/>
    <mergeCell ref="D145:D146"/>
    <mergeCell ref="D107:D108"/>
    <mergeCell ref="C107:C108"/>
    <mergeCell ref="B99:B108"/>
    <mergeCell ref="D109:D110"/>
    <mergeCell ref="D117:D118"/>
    <mergeCell ref="D111:D112"/>
    <mergeCell ref="D113:D114"/>
    <mergeCell ref="D115:D116"/>
    <mergeCell ref="C109:C118"/>
    <mergeCell ref="B109:B142"/>
    <mergeCell ref="D99:D100"/>
    <mergeCell ref="D101:D102"/>
    <mergeCell ref="D103:D104"/>
    <mergeCell ref="D105:D106"/>
    <mergeCell ref="C99:C106"/>
    <mergeCell ref="C80:C85"/>
    <mergeCell ref="D80:D82"/>
    <mergeCell ref="D97:D98"/>
    <mergeCell ref="C93:C98"/>
    <mergeCell ref="B66:B67"/>
    <mergeCell ref="D68:D70"/>
    <mergeCell ref="C68:C70"/>
    <mergeCell ref="C71:C72"/>
    <mergeCell ref="D71:D72"/>
    <mergeCell ref="B68:B72"/>
    <mergeCell ref="D66:D67"/>
    <mergeCell ref="C66:C67"/>
    <mergeCell ref="D83:D85"/>
    <mergeCell ref="B73:B85"/>
    <mergeCell ref="B89:B98"/>
    <mergeCell ref="D93:D94"/>
    <mergeCell ref="D95:D96"/>
    <mergeCell ref="D89:D92"/>
    <mergeCell ref="C89:C92"/>
    <mergeCell ref="S5:T5"/>
    <mergeCell ref="U5:V5"/>
    <mergeCell ref="W5:X5"/>
    <mergeCell ref="O4:P4"/>
    <mergeCell ref="Q4:R4"/>
    <mergeCell ref="S4:T4"/>
    <mergeCell ref="C73:C79"/>
    <mergeCell ref="D73:D76"/>
    <mergeCell ref="D77:D79"/>
    <mergeCell ref="D59:D62"/>
    <mergeCell ref="C59:C62"/>
    <mergeCell ref="I4:J4"/>
    <mergeCell ref="K4:L4"/>
    <mergeCell ref="M4:N4"/>
    <mergeCell ref="I5:J5"/>
    <mergeCell ref="K5:L5"/>
    <mergeCell ref="M5:N5"/>
    <mergeCell ref="Q5:R5"/>
    <mergeCell ref="B59:B62"/>
    <mergeCell ref="C41:C46"/>
    <mergeCell ref="B41:B46"/>
    <mergeCell ref="C47:C52"/>
    <mergeCell ref="B47:B52"/>
    <mergeCell ref="D41:D43"/>
    <mergeCell ref="D44:D46"/>
    <mergeCell ref="E4:F4"/>
    <mergeCell ref="G4:H4"/>
    <mergeCell ref="D53:D55"/>
    <mergeCell ref="D56:D58"/>
    <mergeCell ref="C5:D5"/>
    <mergeCell ref="E5:F5"/>
    <mergeCell ref="G5:H5"/>
    <mergeCell ref="D47:D49"/>
    <mergeCell ref="D50:D52"/>
    <mergeCell ref="C4:D4"/>
    <mergeCell ref="C53:C58"/>
    <mergeCell ref="A38:X38"/>
    <mergeCell ref="B53:B58"/>
    <mergeCell ref="B4:B6"/>
    <mergeCell ref="U4:V4"/>
    <mergeCell ref="W4:X4"/>
    <mergeCell ref="O5:P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944D4-9F61-45AF-BAD4-ACE4B61559EB}">
  <dimension ref="A1:AF31"/>
  <sheetViews>
    <sheetView topLeftCell="A35" workbookViewId="0">
      <selection activeCell="A31" sqref="A31:XFD31"/>
    </sheetView>
  </sheetViews>
  <sheetFormatPr baseColWidth="10" defaultRowHeight="14.4" x14ac:dyDescent="0.3"/>
  <sheetData>
    <row r="1" spans="1:32" ht="15" thickBot="1" x14ac:dyDescent="0.35">
      <c r="A1" s="371" t="s">
        <v>181</v>
      </c>
      <c r="B1" s="365" t="s">
        <v>151</v>
      </c>
      <c r="C1" s="366"/>
      <c r="D1" s="363" t="s">
        <v>152</v>
      </c>
      <c r="E1" s="364"/>
      <c r="F1" s="365" t="s">
        <v>153</v>
      </c>
      <c r="G1" s="366"/>
      <c r="H1" s="365" t="s">
        <v>154</v>
      </c>
      <c r="I1" s="366"/>
      <c r="J1" s="363" t="s">
        <v>155</v>
      </c>
      <c r="K1" s="364"/>
      <c r="L1" s="365" t="s">
        <v>156</v>
      </c>
      <c r="M1" s="366"/>
      <c r="N1" s="365" t="s">
        <v>157</v>
      </c>
      <c r="O1" s="366"/>
      <c r="P1" s="363" t="s">
        <v>158</v>
      </c>
      <c r="Q1" s="364"/>
      <c r="R1" s="365" t="s">
        <v>159</v>
      </c>
      <c r="S1" s="366"/>
      <c r="T1" s="365" t="s">
        <v>160</v>
      </c>
      <c r="U1" s="366"/>
      <c r="V1" s="365" t="s">
        <v>161</v>
      </c>
      <c r="W1" s="366"/>
      <c r="X1" s="44" t="s">
        <v>182</v>
      </c>
      <c r="Y1" s="365" t="s">
        <v>162</v>
      </c>
      <c r="Z1" s="366"/>
      <c r="AA1" s="365" t="s">
        <v>163</v>
      </c>
      <c r="AB1" s="366"/>
      <c r="AC1" s="383" t="s">
        <v>164</v>
      </c>
      <c r="AD1" s="384"/>
      <c r="AE1" s="45" t="s">
        <v>183</v>
      </c>
      <c r="AF1" s="385" t="s">
        <v>23</v>
      </c>
    </row>
    <row r="2" spans="1:32" ht="15" thickBot="1" x14ac:dyDescent="0.35">
      <c r="A2" s="372"/>
      <c r="B2" s="365" t="s">
        <v>184</v>
      </c>
      <c r="C2" s="366"/>
      <c r="D2" s="363" t="s">
        <v>185</v>
      </c>
      <c r="E2" s="364"/>
      <c r="F2" s="365" t="s">
        <v>186</v>
      </c>
      <c r="G2" s="366"/>
      <c r="H2" s="365" t="s">
        <v>187</v>
      </c>
      <c r="I2" s="366"/>
      <c r="J2" s="363" t="s">
        <v>188</v>
      </c>
      <c r="K2" s="364"/>
      <c r="L2" s="365" t="s">
        <v>189</v>
      </c>
      <c r="M2" s="366"/>
      <c r="N2" s="365" t="s">
        <v>190</v>
      </c>
      <c r="O2" s="366"/>
      <c r="P2" s="363" t="s">
        <v>191</v>
      </c>
      <c r="Q2" s="364"/>
      <c r="R2" s="365" t="s">
        <v>192</v>
      </c>
      <c r="S2" s="366"/>
      <c r="T2" s="365" t="s">
        <v>193</v>
      </c>
      <c r="U2" s="366"/>
      <c r="V2" s="365" t="s">
        <v>194</v>
      </c>
      <c r="W2" s="366"/>
      <c r="X2" s="388" t="s">
        <v>195</v>
      </c>
      <c r="Y2" s="365" t="s">
        <v>196</v>
      </c>
      <c r="Z2" s="366"/>
      <c r="AA2" s="365" t="s">
        <v>197</v>
      </c>
      <c r="AB2" s="366"/>
      <c r="AC2" s="383" t="s">
        <v>198</v>
      </c>
      <c r="AD2" s="384"/>
      <c r="AE2" s="388" t="s">
        <v>199</v>
      </c>
      <c r="AF2" s="386"/>
    </row>
    <row r="3" spans="1:32" ht="101.4" thickBot="1" x14ac:dyDescent="0.35">
      <c r="A3" s="373"/>
      <c r="B3" s="46" t="s">
        <v>184</v>
      </c>
      <c r="C3" s="47" t="s">
        <v>200</v>
      </c>
      <c r="D3" s="48" t="s">
        <v>185</v>
      </c>
      <c r="E3" s="49" t="s">
        <v>201</v>
      </c>
      <c r="F3" s="50" t="s">
        <v>186</v>
      </c>
      <c r="G3" s="51" t="s">
        <v>202</v>
      </c>
      <c r="H3" s="52" t="s">
        <v>187</v>
      </c>
      <c r="I3" s="49" t="s">
        <v>203</v>
      </c>
      <c r="J3" s="47" t="s">
        <v>204</v>
      </c>
      <c r="K3" s="49" t="s">
        <v>205</v>
      </c>
      <c r="L3" s="50" t="s">
        <v>206</v>
      </c>
      <c r="M3" s="51" t="s">
        <v>207</v>
      </c>
      <c r="N3" s="52" t="s">
        <v>190</v>
      </c>
      <c r="O3" s="49" t="s">
        <v>208</v>
      </c>
      <c r="P3" s="46" t="s">
        <v>191</v>
      </c>
      <c r="Q3" s="49" t="s">
        <v>209</v>
      </c>
      <c r="R3" s="53" t="s">
        <v>210</v>
      </c>
      <c r="S3" s="49" t="s">
        <v>211</v>
      </c>
      <c r="T3" s="54" t="s">
        <v>212</v>
      </c>
      <c r="U3" s="55" t="s">
        <v>213</v>
      </c>
      <c r="V3" s="54" t="s">
        <v>214</v>
      </c>
      <c r="W3" s="55" t="s">
        <v>215</v>
      </c>
      <c r="X3" s="389"/>
      <c r="Y3" s="46" t="s">
        <v>216</v>
      </c>
      <c r="Z3" s="49" t="s">
        <v>217</v>
      </c>
      <c r="AA3" s="47" t="s">
        <v>218</v>
      </c>
      <c r="AB3" s="49" t="s">
        <v>219</v>
      </c>
      <c r="AC3" s="54" t="s">
        <v>220</v>
      </c>
      <c r="AD3" s="55" t="s">
        <v>221</v>
      </c>
      <c r="AE3" s="389"/>
      <c r="AF3" s="387"/>
    </row>
    <row r="4" spans="1:32" x14ac:dyDescent="0.3">
      <c r="A4" s="56" t="s">
        <v>222</v>
      </c>
      <c r="B4" s="57">
        <v>2484</v>
      </c>
      <c r="C4" s="58">
        <v>1</v>
      </c>
      <c r="D4" s="59">
        <v>0.94484594903004948</v>
      </c>
      <c r="E4" s="58">
        <v>0.75</v>
      </c>
      <c r="F4" s="58">
        <v>32.093023255813954</v>
      </c>
      <c r="G4" s="58">
        <v>0.5</v>
      </c>
      <c r="H4" s="60">
        <v>0.13083735909822866</v>
      </c>
      <c r="I4" s="58">
        <v>1</v>
      </c>
      <c r="J4" s="58">
        <v>28.5</v>
      </c>
      <c r="K4" s="58">
        <v>1.25</v>
      </c>
      <c r="L4" s="58">
        <v>103.10711365494684</v>
      </c>
      <c r="M4" s="58">
        <v>1</v>
      </c>
      <c r="N4" s="60">
        <v>0.1388888888888889</v>
      </c>
      <c r="O4" s="58">
        <v>1</v>
      </c>
      <c r="P4" s="57">
        <v>11.76</v>
      </c>
      <c r="Q4" s="58">
        <v>1.75</v>
      </c>
      <c r="R4" s="60">
        <v>0.3946348631239936</v>
      </c>
      <c r="S4" s="58">
        <v>1.25</v>
      </c>
      <c r="T4" s="60">
        <v>0.38717793880837359</v>
      </c>
      <c r="U4" s="58">
        <v>1.75</v>
      </c>
      <c r="V4" s="60">
        <v>8.307238902191931E-2</v>
      </c>
      <c r="W4" s="58">
        <v>0.5</v>
      </c>
      <c r="X4" s="58">
        <v>11.75</v>
      </c>
      <c r="Y4" s="57" t="s">
        <v>223</v>
      </c>
      <c r="Z4" s="58">
        <v>0.25</v>
      </c>
      <c r="AA4" s="58">
        <v>15.954311633917905</v>
      </c>
      <c r="AB4" s="58">
        <v>1.5</v>
      </c>
      <c r="AC4" s="60">
        <v>0.39625322997416018</v>
      </c>
      <c r="AD4" s="58">
        <v>3.25</v>
      </c>
      <c r="AE4" s="58">
        <v>5</v>
      </c>
      <c r="AF4" s="61">
        <v>16.75</v>
      </c>
    </row>
    <row r="5" spans="1:32" x14ac:dyDescent="0.3">
      <c r="A5" s="62" t="s">
        <v>224</v>
      </c>
      <c r="B5" s="6">
        <v>2287</v>
      </c>
      <c r="C5" s="63">
        <v>1</v>
      </c>
      <c r="D5" s="64">
        <v>0.96092436974789919</v>
      </c>
      <c r="E5" s="63">
        <v>0.75</v>
      </c>
      <c r="F5" s="63">
        <v>34.442771084337345</v>
      </c>
      <c r="G5" s="63">
        <v>0.5</v>
      </c>
      <c r="H5" s="65">
        <v>0.14516834280717097</v>
      </c>
      <c r="I5" s="63">
        <v>1</v>
      </c>
      <c r="J5" s="63">
        <v>29.2</v>
      </c>
      <c r="K5" s="63">
        <v>1.25</v>
      </c>
      <c r="L5" s="63">
        <v>105.66546762589928</v>
      </c>
      <c r="M5" s="63">
        <v>1</v>
      </c>
      <c r="N5" s="65">
        <v>0.15566243987756886</v>
      </c>
      <c r="O5" s="63">
        <v>1.5</v>
      </c>
      <c r="P5" s="6">
        <v>9.31</v>
      </c>
      <c r="Q5" s="63">
        <v>1</v>
      </c>
      <c r="R5" s="65">
        <v>0.3980355050284215</v>
      </c>
      <c r="S5" s="63">
        <v>1.25</v>
      </c>
      <c r="T5" s="65">
        <v>0.44490599038041101</v>
      </c>
      <c r="U5" s="63">
        <v>1.5</v>
      </c>
      <c r="V5" s="65">
        <v>0.13979505499670958</v>
      </c>
      <c r="W5" s="63">
        <v>1</v>
      </c>
      <c r="X5" s="63">
        <v>11.75</v>
      </c>
      <c r="Y5" s="6" t="s">
        <v>225</v>
      </c>
      <c r="Z5" s="63">
        <v>0</v>
      </c>
      <c r="AA5" s="63">
        <v>13.406559864162986</v>
      </c>
      <c r="AB5" s="63">
        <v>1.5</v>
      </c>
      <c r="AC5" s="65">
        <v>0.48554216867469879</v>
      </c>
      <c r="AD5" s="63">
        <v>3.25</v>
      </c>
      <c r="AE5" s="63">
        <v>4.75</v>
      </c>
      <c r="AF5" s="66">
        <v>16.5</v>
      </c>
    </row>
    <row r="6" spans="1:32" x14ac:dyDescent="0.3">
      <c r="A6" s="62" t="s">
        <v>226</v>
      </c>
      <c r="B6" s="6">
        <v>3840</v>
      </c>
      <c r="C6" s="63">
        <v>0.75</v>
      </c>
      <c r="D6" s="64">
        <v>0.99792099792099798</v>
      </c>
      <c r="E6" s="63">
        <v>0.75</v>
      </c>
      <c r="F6" s="63">
        <v>115.31531531531533</v>
      </c>
      <c r="G6" s="63">
        <v>0.25</v>
      </c>
      <c r="H6" s="65">
        <v>0.15963541666666667</v>
      </c>
      <c r="I6" s="63">
        <v>0.75</v>
      </c>
      <c r="J6" s="63">
        <v>26.2</v>
      </c>
      <c r="K6" s="63">
        <v>1.25</v>
      </c>
      <c r="L6" s="63">
        <v>102.31822971548998</v>
      </c>
      <c r="M6" s="63">
        <v>1</v>
      </c>
      <c r="N6" s="65">
        <v>0.18281249999999999</v>
      </c>
      <c r="O6" s="63">
        <v>1.5</v>
      </c>
      <c r="P6" s="6">
        <v>7.43</v>
      </c>
      <c r="Q6" s="63">
        <v>1</v>
      </c>
      <c r="R6" s="65">
        <v>0.42823320312499996</v>
      </c>
      <c r="S6" s="63">
        <v>1</v>
      </c>
      <c r="T6" s="65">
        <v>0.54010416666666672</v>
      </c>
      <c r="U6" s="63">
        <v>1.5</v>
      </c>
      <c r="V6" s="65">
        <v>0.15957853360266416</v>
      </c>
      <c r="W6" s="63">
        <v>1</v>
      </c>
      <c r="X6" s="63">
        <v>10.75</v>
      </c>
      <c r="Y6" s="6" t="s">
        <v>225</v>
      </c>
      <c r="Z6" s="63">
        <v>0</v>
      </c>
      <c r="AA6" s="63">
        <v>34.280946355063008</v>
      </c>
      <c r="AB6" s="63">
        <v>1.5</v>
      </c>
      <c r="AC6" s="65">
        <v>0</v>
      </c>
      <c r="AD6" s="63">
        <v>2.25</v>
      </c>
      <c r="AE6" s="63">
        <v>3.75</v>
      </c>
      <c r="AF6" s="66">
        <v>14.5</v>
      </c>
    </row>
    <row r="7" spans="1:32" x14ac:dyDescent="0.3">
      <c r="A7" s="62" t="s">
        <v>227</v>
      </c>
      <c r="B7" s="6">
        <v>221</v>
      </c>
      <c r="C7" s="63">
        <v>1.5</v>
      </c>
      <c r="D7" s="64">
        <v>1.1693121693121693</v>
      </c>
      <c r="E7" s="63">
        <v>0</v>
      </c>
      <c r="F7" s="63">
        <v>73.666666666666671</v>
      </c>
      <c r="G7" s="63">
        <v>0.25</v>
      </c>
      <c r="H7" s="65">
        <v>0.15837104072398189</v>
      </c>
      <c r="I7" s="63">
        <v>0.75</v>
      </c>
      <c r="J7" s="63">
        <v>30.3</v>
      </c>
      <c r="K7" s="63">
        <v>1.5</v>
      </c>
      <c r="L7" s="63">
        <v>121</v>
      </c>
      <c r="M7" s="63">
        <v>1</v>
      </c>
      <c r="N7" s="65">
        <v>0.10407239819004525</v>
      </c>
      <c r="O7" s="63">
        <v>1</v>
      </c>
      <c r="P7" s="6">
        <v>13.4</v>
      </c>
      <c r="Q7" s="63">
        <v>1.75</v>
      </c>
      <c r="R7" s="65">
        <v>0.3461864253393665</v>
      </c>
      <c r="S7" s="63">
        <v>1.5</v>
      </c>
      <c r="T7" s="65">
        <v>0.27714932126696834</v>
      </c>
      <c r="U7" s="63">
        <v>2</v>
      </c>
      <c r="V7" s="65">
        <v>5.7471264367816098E-2</v>
      </c>
      <c r="W7" s="63">
        <v>0.5</v>
      </c>
      <c r="X7" s="63">
        <v>11.75</v>
      </c>
      <c r="Y7" s="6" t="s">
        <v>225</v>
      </c>
      <c r="Z7" s="63">
        <v>0</v>
      </c>
      <c r="AA7" s="63">
        <v>17.692900910465802</v>
      </c>
      <c r="AB7" s="63">
        <v>1.5</v>
      </c>
      <c r="AC7" s="65">
        <v>0</v>
      </c>
      <c r="AD7" s="63">
        <v>2.25</v>
      </c>
      <c r="AE7" s="63">
        <v>3.75</v>
      </c>
      <c r="AF7" s="66">
        <v>15.5</v>
      </c>
    </row>
    <row r="8" spans="1:32" x14ac:dyDescent="0.3">
      <c r="A8" s="62" t="s">
        <v>228</v>
      </c>
      <c r="B8" s="6">
        <v>2195</v>
      </c>
      <c r="C8" s="63">
        <v>1</v>
      </c>
      <c r="D8" s="64">
        <v>0.92033542976939209</v>
      </c>
      <c r="E8" s="63">
        <v>0.75</v>
      </c>
      <c r="F8" s="63">
        <v>60.635359116022094</v>
      </c>
      <c r="G8" s="63">
        <v>0.25</v>
      </c>
      <c r="H8" s="65">
        <v>0.11890660592255126</v>
      </c>
      <c r="I8" s="63">
        <v>1</v>
      </c>
      <c r="J8" s="63">
        <v>32.1</v>
      </c>
      <c r="K8" s="63">
        <v>1.5</v>
      </c>
      <c r="L8" s="63">
        <v>96.157283288650589</v>
      </c>
      <c r="M8" s="63">
        <v>0.75</v>
      </c>
      <c r="N8" s="65">
        <v>0.10888382687927108</v>
      </c>
      <c r="O8" s="63">
        <v>1</v>
      </c>
      <c r="P8" s="6">
        <v>9.5399999999999991</v>
      </c>
      <c r="Q8" s="63">
        <v>1</v>
      </c>
      <c r="R8" s="65">
        <v>0.3932947608200455</v>
      </c>
      <c r="S8" s="63">
        <v>1.25</v>
      </c>
      <c r="T8" s="65">
        <v>0.38257403189066058</v>
      </c>
      <c r="U8" s="63">
        <v>1.75</v>
      </c>
      <c r="V8" s="65">
        <v>0.1533529535421484</v>
      </c>
      <c r="W8" s="63">
        <v>1</v>
      </c>
      <c r="X8" s="63">
        <v>11.25</v>
      </c>
      <c r="Y8" s="6" t="s">
        <v>225</v>
      </c>
      <c r="Z8" s="63">
        <v>0</v>
      </c>
      <c r="AA8" s="63">
        <v>20.707634014120305</v>
      </c>
      <c r="AB8" s="63">
        <v>1.5</v>
      </c>
      <c r="AC8" s="65">
        <v>5.8839779005524853E-2</v>
      </c>
      <c r="AD8" s="63">
        <v>2.25</v>
      </c>
      <c r="AE8" s="63">
        <v>3.75</v>
      </c>
      <c r="AF8" s="66">
        <v>15</v>
      </c>
    </row>
    <row r="9" spans="1:32" x14ac:dyDescent="0.3">
      <c r="A9" s="62" t="s">
        <v>229</v>
      </c>
      <c r="B9" s="6">
        <v>1351</v>
      </c>
      <c r="C9" s="63">
        <v>1</v>
      </c>
      <c r="D9" s="64">
        <v>0.90793010752688175</v>
      </c>
      <c r="E9" s="63">
        <v>0.75</v>
      </c>
      <c r="F9" s="63">
        <v>37.843137254901954</v>
      </c>
      <c r="G9" s="63">
        <v>0.5</v>
      </c>
      <c r="H9" s="65">
        <v>0.10954848260547742</v>
      </c>
      <c r="I9" s="63">
        <v>1</v>
      </c>
      <c r="J9" s="63">
        <v>30.7</v>
      </c>
      <c r="K9" s="63">
        <v>1.5</v>
      </c>
      <c r="L9" s="63">
        <v>111.42410015649453</v>
      </c>
      <c r="M9" s="63">
        <v>1</v>
      </c>
      <c r="N9" s="65">
        <v>0.13175425610658772</v>
      </c>
      <c r="O9" s="63">
        <v>1</v>
      </c>
      <c r="P9" s="6">
        <v>5.49</v>
      </c>
      <c r="Q9" s="63">
        <v>1</v>
      </c>
      <c r="R9" s="65">
        <v>0.44413456698741671</v>
      </c>
      <c r="S9" s="63">
        <v>1</v>
      </c>
      <c r="T9" s="65">
        <v>0.46965210954848263</v>
      </c>
      <c r="U9" s="63">
        <v>1.5</v>
      </c>
      <c r="V9" s="65">
        <v>0.17453974596831739</v>
      </c>
      <c r="W9" s="63">
        <v>1</v>
      </c>
      <c r="X9" s="63">
        <v>11.25</v>
      </c>
      <c r="Y9" s="6" t="s">
        <v>225</v>
      </c>
      <c r="Z9" s="63">
        <v>0</v>
      </c>
      <c r="AA9" s="63">
        <v>10.178906756169836</v>
      </c>
      <c r="AB9" s="63">
        <v>1.25</v>
      </c>
      <c r="AC9" s="65">
        <v>0.45602240896358542</v>
      </c>
      <c r="AD9" s="63">
        <v>3.25</v>
      </c>
      <c r="AE9" s="63">
        <v>4.5</v>
      </c>
      <c r="AF9" s="66">
        <v>15.75</v>
      </c>
    </row>
    <row r="10" spans="1:32" x14ac:dyDescent="0.3">
      <c r="A10" s="62" t="s">
        <v>230</v>
      </c>
      <c r="B10" s="6">
        <v>2045</v>
      </c>
      <c r="C10" s="63">
        <v>1</v>
      </c>
      <c r="D10" s="64">
        <v>0.95516113965436711</v>
      </c>
      <c r="E10" s="63">
        <v>0.75</v>
      </c>
      <c r="F10" s="63">
        <v>74.908424908424905</v>
      </c>
      <c r="G10" s="63">
        <v>0.25</v>
      </c>
      <c r="H10" s="65">
        <v>0.13789731051344745</v>
      </c>
      <c r="I10" s="63">
        <v>1</v>
      </c>
      <c r="J10" s="63">
        <v>26.9</v>
      </c>
      <c r="K10" s="63">
        <v>1.25</v>
      </c>
      <c r="L10" s="63">
        <v>108.46075433231397</v>
      </c>
      <c r="M10" s="63">
        <v>1</v>
      </c>
      <c r="N10" s="65">
        <v>0.23080684596577017</v>
      </c>
      <c r="O10" s="63">
        <v>2</v>
      </c>
      <c r="P10" s="6">
        <v>5.48</v>
      </c>
      <c r="Q10" s="63">
        <v>1</v>
      </c>
      <c r="R10" s="65">
        <v>0.43292176039119806</v>
      </c>
      <c r="S10" s="63">
        <v>1</v>
      </c>
      <c r="T10" s="65">
        <v>0.54706601466992666</v>
      </c>
      <c r="U10" s="63">
        <v>1.5</v>
      </c>
      <c r="V10" s="65">
        <v>0.21576288954541123</v>
      </c>
      <c r="W10" s="63">
        <v>1</v>
      </c>
      <c r="X10" s="63">
        <v>11.75</v>
      </c>
      <c r="Y10" s="6" t="s">
        <v>225</v>
      </c>
      <c r="Z10" s="63">
        <v>0</v>
      </c>
      <c r="AA10" s="63">
        <v>20.328091000455355</v>
      </c>
      <c r="AB10" s="63">
        <v>1.5</v>
      </c>
      <c r="AC10" s="65">
        <v>0</v>
      </c>
      <c r="AD10" s="63">
        <v>2.25</v>
      </c>
      <c r="AE10" s="63">
        <v>3.75</v>
      </c>
      <c r="AF10" s="66">
        <v>15.5</v>
      </c>
    </row>
    <row r="11" spans="1:32" x14ac:dyDescent="0.3">
      <c r="A11" s="62" t="s">
        <v>231</v>
      </c>
      <c r="B11" s="6">
        <v>3952</v>
      </c>
      <c r="C11" s="63">
        <v>0.75</v>
      </c>
      <c r="D11" s="64">
        <v>0.98824706176544141</v>
      </c>
      <c r="E11" s="63">
        <v>0.75</v>
      </c>
      <c r="F11" s="63">
        <v>62.630744849445321</v>
      </c>
      <c r="G11" s="63">
        <v>0.25</v>
      </c>
      <c r="H11" s="65">
        <v>0.1604251012145749</v>
      </c>
      <c r="I11" s="63">
        <v>0.75</v>
      </c>
      <c r="J11" s="63">
        <v>28.8</v>
      </c>
      <c r="K11" s="63">
        <v>1.25</v>
      </c>
      <c r="L11" s="63">
        <v>98.194583751253759</v>
      </c>
      <c r="M11" s="63">
        <v>0.75</v>
      </c>
      <c r="N11" s="65">
        <v>0.1707995951417004</v>
      </c>
      <c r="O11" s="63">
        <v>1.5</v>
      </c>
      <c r="P11" s="6">
        <v>11.93</v>
      </c>
      <c r="Q11" s="63">
        <v>1.75</v>
      </c>
      <c r="R11" s="65">
        <v>0.37331113360323886</v>
      </c>
      <c r="S11" s="63">
        <v>1.25</v>
      </c>
      <c r="T11" s="65">
        <v>0.35115131578947367</v>
      </c>
      <c r="U11" s="63">
        <v>1.75</v>
      </c>
      <c r="V11" s="65">
        <v>6.5111374719915655E-2</v>
      </c>
      <c r="W11" s="63">
        <v>0.5</v>
      </c>
      <c r="X11" s="63">
        <v>11.25</v>
      </c>
      <c r="Y11" s="6" t="s">
        <v>225</v>
      </c>
      <c r="Z11" s="63">
        <v>0</v>
      </c>
      <c r="AA11" s="63">
        <v>16.56860564610362</v>
      </c>
      <c r="AB11" s="63">
        <v>1.5</v>
      </c>
      <c r="AC11" s="65">
        <v>3.3280507131537239E-3</v>
      </c>
      <c r="AD11" s="63">
        <v>2.25</v>
      </c>
      <c r="AE11" s="63">
        <v>3.75</v>
      </c>
      <c r="AF11" s="66">
        <v>15</v>
      </c>
    </row>
    <row r="12" spans="1:32" x14ac:dyDescent="0.3">
      <c r="A12" s="62" t="s">
        <v>232</v>
      </c>
      <c r="B12" s="6">
        <v>4251</v>
      </c>
      <c r="C12" s="63">
        <v>0.75</v>
      </c>
      <c r="D12" s="64">
        <v>0.98722712494194143</v>
      </c>
      <c r="E12" s="63">
        <v>0.75</v>
      </c>
      <c r="F12" s="63">
        <v>231.03260869565219</v>
      </c>
      <c r="G12" s="63">
        <v>0.25</v>
      </c>
      <c r="H12" s="65">
        <v>0.19595389320159962</v>
      </c>
      <c r="I12" s="63">
        <v>0.75</v>
      </c>
      <c r="J12" s="63">
        <v>23.9</v>
      </c>
      <c r="K12" s="63">
        <v>1</v>
      </c>
      <c r="L12" s="63">
        <v>100.51886792452831</v>
      </c>
      <c r="M12" s="63">
        <v>1</v>
      </c>
      <c r="N12" s="65">
        <v>0.23829687132439425</v>
      </c>
      <c r="O12" s="63">
        <v>2</v>
      </c>
      <c r="P12" s="6">
        <v>14.83</v>
      </c>
      <c r="Q12" s="63">
        <v>1.75</v>
      </c>
      <c r="R12" s="65">
        <v>0.34747113620324627</v>
      </c>
      <c r="S12" s="63">
        <v>1.5</v>
      </c>
      <c r="T12" s="65">
        <v>0.33586215008233355</v>
      </c>
      <c r="U12" s="63">
        <v>2</v>
      </c>
      <c r="V12" s="65">
        <v>4.165853023498016E-2</v>
      </c>
      <c r="W12" s="63">
        <v>0.5</v>
      </c>
      <c r="X12" s="63">
        <v>12.25</v>
      </c>
      <c r="Y12" s="6" t="s">
        <v>225</v>
      </c>
      <c r="Z12" s="63">
        <v>0</v>
      </c>
      <c r="AA12" s="63">
        <v>17.58449761015472</v>
      </c>
      <c r="AB12" s="63">
        <v>1.5</v>
      </c>
      <c r="AC12" s="65">
        <v>8.8586956521739132E-2</v>
      </c>
      <c r="AD12" s="63">
        <v>2.25</v>
      </c>
      <c r="AE12" s="63">
        <v>3.75</v>
      </c>
      <c r="AF12" s="66">
        <v>16</v>
      </c>
    </row>
    <row r="13" spans="1:32" x14ac:dyDescent="0.3">
      <c r="A13" s="62" t="s">
        <v>233</v>
      </c>
      <c r="B13" s="6">
        <v>8026</v>
      </c>
      <c r="C13" s="63">
        <v>0.25</v>
      </c>
      <c r="D13" s="64">
        <v>1.0369509043927649</v>
      </c>
      <c r="E13" s="63">
        <v>0</v>
      </c>
      <c r="F13" s="63">
        <v>215.17426273458446</v>
      </c>
      <c r="G13" s="63">
        <v>0.25</v>
      </c>
      <c r="H13" s="65">
        <v>0.18352853227012211</v>
      </c>
      <c r="I13" s="63">
        <v>0.75</v>
      </c>
      <c r="J13" s="63">
        <v>22.6</v>
      </c>
      <c r="K13" s="63">
        <v>1</v>
      </c>
      <c r="L13" s="63">
        <v>105.37359263050155</v>
      </c>
      <c r="M13" s="63">
        <v>1</v>
      </c>
      <c r="N13" s="65">
        <v>0.23635684026912535</v>
      </c>
      <c r="O13" s="63">
        <v>2</v>
      </c>
      <c r="P13" s="6">
        <v>12.95</v>
      </c>
      <c r="Q13" s="63">
        <v>1.75</v>
      </c>
      <c r="R13" s="65">
        <v>0.37504928980812358</v>
      </c>
      <c r="S13" s="63">
        <v>1.25</v>
      </c>
      <c r="T13" s="65">
        <v>0.36341265885870921</v>
      </c>
      <c r="U13" s="63">
        <v>1.75</v>
      </c>
      <c r="V13" s="65">
        <v>6.3415086180268129E-2</v>
      </c>
      <c r="W13" s="63">
        <v>0.5</v>
      </c>
      <c r="X13" s="63">
        <v>10.5</v>
      </c>
      <c r="Y13" s="6" t="s">
        <v>225</v>
      </c>
      <c r="Z13" s="63">
        <v>0</v>
      </c>
      <c r="AA13" s="63">
        <v>20.14364114713868</v>
      </c>
      <c r="AB13" s="63">
        <v>1.5</v>
      </c>
      <c r="AC13" s="65">
        <v>0</v>
      </c>
      <c r="AD13" s="63">
        <v>2.25</v>
      </c>
      <c r="AE13" s="63">
        <v>3.75</v>
      </c>
      <c r="AF13" s="66">
        <v>14.25</v>
      </c>
    </row>
    <row r="14" spans="1:32" x14ac:dyDescent="0.3">
      <c r="A14" s="62" t="s">
        <v>234</v>
      </c>
      <c r="B14" s="6">
        <v>8100</v>
      </c>
      <c r="C14" s="63">
        <v>0.25</v>
      </c>
      <c r="D14" s="64">
        <v>1.0029717682020802</v>
      </c>
      <c r="E14" s="63">
        <v>0</v>
      </c>
      <c r="F14" s="63">
        <v>99.8766954377312</v>
      </c>
      <c r="G14" s="63">
        <v>0.25</v>
      </c>
      <c r="H14" s="65">
        <v>0.16123456790123455</v>
      </c>
      <c r="I14" s="63">
        <v>0.75</v>
      </c>
      <c r="J14" s="63">
        <v>24.1</v>
      </c>
      <c r="K14" s="63">
        <v>1</v>
      </c>
      <c r="L14" s="63">
        <v>100.99255583126552</v>
      </c>
      <c r="M14" s="63">
        <v>1</v>
      </c>
      <c r="N14" s="65">
        <v>0.23950617283950618</v>
      </c>
      <c r="O14" s="63">
        <v>2</v>
      </c>
      <c r="P14" s="6">
        <v>13.1</v>
      </c>
      <c r="Q14" s="63">
        <v>1.75</v>
      </c>
      <c r="R14" s="65">
        <v>0.37986722222222219</v>
      </c>
      <c r="S14" s="63">
        <v>1.25</v>
      </c>
      <c r="T14" s="65">
        <v>0.3527469135802469</v>
      </c>
      <c r="U14" s="63">
        <v>1.75</v>
      </c>
      <c r="V14" s="65">
        <v>4.7739477956787811E-2</v>
      </c>
      <c r="W14" s="63">
        <v>0.5</v>
      </c>
      <c r="X14" s="63">
        <v>10.5</v>
      </c>
      <c r="Y14" s="6" t="s">
        <v>225</v>
      </c>
      <c r="Z14" s="63">
        <v>0</v>
      </c>
      <c r="AA14" s="63">
        <v>20.045335855581182</v>
      </c>
      <c r="AB14" s="63">
        <v>1.5</v>
      </c>
      <c r="AC14" s="65">
        <v>0</v>
      </c>
      <c r="AD14" s="63">
        <v>2.25</v>
      </c>
      <c r="AE14" s="63">
        <v>3.75</v>
      </c>
      <c r="AF14" s="66">
        <v>14.25</v>
      </c>
    </row>
    <row r="15" spans="1:32" x14ac:dyDescent="0.3">
      <c r="A15" s="62" t="s">
        <v>235</v>
      </c>
      <c r="B15" s="6">
        <v>3178</v>
      </c>
      <c r="C15" s="63">
        <v>0.75</v>
      </c>
      <c r="D15" s="64">
        <v>0.93333333333333335</v>
      </c>
      <c r="E15" s="63">
        <v>0.75</v>
      </c>
      <c r="F15" s="63">
        <v>86.594005449591279</v>
      </c>
      <c r="G15" s="63">
        <v>0.25</v>
      </c>
      <c r="H15" s="65">
        <v>0.13467589679043424</v>
      </c>
      <c r="I15" s="63">
        <v>1</v>
      </c>
      <c r="J15" s="63">
        <v>30</v>
      </c>
      <c r="K15" s="63">
        <v>1.5</v>
      </c>
      <c r="L15" s="63">
        <v>105.29715762273901</v>
      </c>
      <c r="M15" s="63">
        <v>1</v>
      </c>
      <c r="N15" s="65">
        <v>0.11674008810572688</v>
      </c>
      <c r="O15" s="63">
        <v>1</v>
      </c>
      <c r="P15" s="6">
        <v>9.11</v>
      </c>
      <c r="Q15" s="63">
        <v>1</v>
      </c>
      <c r="R15" s="65">
        <v>0.41136683448709876</v>
      </c>
      <c r="S15" s="63">
        <v>1</v>
      </c>
      <c r="T15" s="65">
        <v>0.37586532410320955</v>
      </c>
      <c r="U15" s="63">
        <v>1.75</v>
      </c>
      <c r="V15" s="65">
        <v>0.13098278276629047</v>
      </c>
      <c r="W15" s="63">
        <v>1</v>
      </c>
      <c r="X15" s="63">
        <v>11</v>
      </c>
      <c r="Y15" s="6" t="s">
        <v>225</v>
      </c>
      <c r="Z15" s="63">
        <v>0</v>
      </c>
      <c r="AA15" s="63">
        <v>22.594698055123523</v>
      </c>
      <c r="AB15" s="63">
        <v>1.5</v>
      </c>
      <c r="AC15" s="65">
        <v>2.9700272479564034E-2</v>
      </c>
      <c r="AD15" s="63">
        <v>2.25</v>
      </c>
      <c r="AE15" s="63">
        <v>3.75</v>
      </c>
      <c r="AF15" s="66">
        <v>14.75</v>
      </c>
    </row>
    <row r="16" spans="1:32" x14ac:dyDescent="0.3">
      <c r="A16" s="62" t="s">
        <v>236</v>
      </c>
      <c r="B16" s="6">
        <v>2336</v>
      </c>
      <c r="C16" s="63">
        <v>1</v>
      </c>
      <c r="D16" s="64">
        <v>0.88150943396226411</v>
      </c>
      <c r="E16" s="63">
        <v>1</v>
      </c>
      <c r="F16" s="63">
        <v>20.31304347826087</v>
      </c>
      <c r="G16" s="63">
        <v>0.5</v>
      </c>
      <c r="H16" s="65">
        <v>0.12842465753424659</v>
      </c>
      <c r="I16" s="63">
        <v>1</v>
      </c>
      <c r="J16" s="63">
        <v>34</v>
      </c>
      <c r="K16" s="63">
        <v>1.5</v>
      </c>
      <c r="L16" s="63">
        <v>105.99647266313934</v>
      </c>
      <c r="M16" s="63">
        <v>1</v>
      </c>
      <c r="N16" s="65">
        <v>0.15368150684931506</v>
      </c>
      <c r="O16" s="63">
        <v>1.5</v>
      </c>
      <c r="P16" s="6">
        <v>10.76</v>
      </c>
      <c r="Q16" s="63">
        <v>1.75</v>
      </c>
      <c r="R16" s="65">
        <v>0.37572825342465754</v>
      </c>
      <c r="S16" s="63">
        <v>1.25</v>
      </c>
      <c r="T16" s="65">
        <v>0.41309931506849318</v>
      </c>
      <c r="U16" s="63">
        <v>1.5</v>
      </c>
      <c r="V16" s="65">
        <v>0.15333206033988925</v>
      </c>
      <c r="W16" s="63">
        <v>1</v>
      </c>
      <c r="X16" s="63">
        <v>13</v>
      </c>
      <c r="Y16" s="6" t="s">
        <v>223</v>
      </c>
      <c r="Z16" s="63">
        <v>0.25</v>
      </c>
      <c r="AA16" s="63">
        <v>37.706298615164251</v>
      </c>
      <c r="AB16" s="63">
        <v>1.5</v>
      </c>
      <c r="AC16" s="65">
        <v>0.42913043478260871</v>
      </c>
      <c r="AD16" s="63">
        <v>3.25</v>
      </c>
      <c r="AE16" s="63">
        <v>5</v>
      </c>
      <c r="AF16" s="66">
        <v>18</v>
      </c>
    </row>
    <row r="17" spans="1:32" x14ac:dyDescent="0.3">
      <c r="A17" s="62" t="s">
        <v>237</v>
      </c>
      <c r="B17" s="6">
        <v>2080</v>
      </c>
      <c r="C17" s="63">
        <v>1</v>
      </c>
      <c r="D17" s="64">
        <v>0.89193825042881647</v>
      </c>
      <c r="E17" s="63">
        <v>1</v>
      </c>
      <c r="F17" s="63">
        <v>48.148148148148145</v>
      </c>
      <c r="G17" s="63">
        <v>0.5</v>
      </c>
      <c r="H17" s="65">
        <v>0.16057692307692309</v>
      </c>
      <c r="I17" s="63">
        <v>0.75</v>
      </c>
      <c r="J17" s="63">
        <v>33.700000000000003</v>
      </c>
      <c r="K17" s="63">
        <v>1.5</v>
      </c>
      <c r="L17" s="63">
        <v>99.424736337488014</v>
      </c>
      <c r="M17" s="63">
        <v>0.75</v>
      </c>
      <c r="N17" s="65">
        <v>0.18990384615384615</v>
      </c>
      <c r="O17" s="63">
        <v>1.5</v>
      </c>
      <c r="P17" s="6">
        <v>16.62</v>
      </c>
      <c r="Q17" s="63">
        <v>2</v>
      </c>
      <c r="R17" s="65">
        <v>0.30518024038461539</v>
      </c>
      <c r="S17" s="63">
        <v>1.5</v>
      </c>
      <c r="T17" s="65">
        <v>0.27848557692307691</v>
      </c>
      <c r="U17" s="63">
        <v>2</v>
      </c>
      <c r="V17" s="65">
        <v>9.2034606205250599E-2</v>
      </c>
      <c r="W17" s="63">
        <v>0.5</v>
      </c>
      <c r="X17" s="63">
        <v>13</v>
      </c>
      <c r="Y17" s="6" t="s">
        <v>223</v>
      </c>
      <c r="Z17" s="63">
        <v>0.25</v>
      </c>
      <c r="AA17" s="63">
        <v>26.824713008377564</v>
      </c>
      <c r="AB17" s="63">
        <v>1.5</v>
      </c>
      <c r="AC17" s="65">
        <v>0</v>
      </c>
      <c r="AD17" s="63">
        <v>2.25</v>
      </c>
      <c r="AE17" s="63">
        <v>4</v>
      </c>
      <c r="AF17" s="66">
        <v>17</v>
      </c>
    </row>
    <row r="18" spans="1:32" x14ac:dyDescent="0.3">
      <c r="A18" s="62" t="s">
        <v>238</v>
      </c>
      <c r="B18" s="6">
        <v>993</v>
      </c>
      <c r="C18" s="63">
        <v>1.5</v>
      </c>
      <c r="D18" s="64">
        <v>1.0735135135135134</v>
      </c>
      <c r="E18" s="63">
        <v>0</v>
      </c>
      <c r="F18" s="63">
        <v>45.136363636363633</v>
      </c>
      <c r="G18" s="63">
        <v>0.5</v>
      </c>
      <c r="H18" s="65">
        <v>0.15609264853977844</v>
      </c>
      <c r="I18" s="63">
        <v>0.75</v>
      </c>
      <c r="J18" s="63">
        <v>23.9</v>
      </c>
      <c r="K18" s="63">
        <v>1</v>
      </c>
      <c r="L18" s="63">
        <v>99.798792756539228</v>
      </c>
      <c r="M18" s="63">
        <v>0.75</v>
      </c>
      <c r="N18" s="65">
        <v>0.13393756294058409</v>
      </c>
      <c r="O18" s="63">
        <v>1</v>
      </c>
      <c r="P18" s="6">
        <v>6.29</v>
      </c>
      <c r="Q18" s="63">
        <v>1</v>
      </c>
      <c r="R18" s="65">
        <v>0.45209566968781467</v>
      </c>
      <c r="S18" s="63">
        <v>1</v>
      </c>
      <c r="T18" s="65">
        <v>0.43403826787512589</v>
      </c>
      <c r="U18" s="63">
        <v>1.5</v>
      </c>
      <c r="V18" s="65">
        <v>0.14668265387689847</v>
      </c>
      <c r="W18" s="63">
        <v>1</v>
      </c>
      <c r="X18" s="63">
        <v>10</v>
      </c>
      <c r="Y18" s="6" t="s">
        <v>225</v>
      </c>
      <c r="Z18" s="63">
        <v>0</v>
      </c>
      <c r="AA18" s="63">
        <v>9.2894893793277955</v>
      </c>
      <c r="AB18" s="63">
        <v>1.25</v>
      </c>
      <c r="AC18" s="65">
        <v>4.2272727272727274E-2</v>
      </c>
      <c r="AD18" s="63">
        <v>2.25</v>
      </c>
      <c r="AE18" s="63">
        <v>3.5</v>
      </c>
      <c r="AF18" s="66">
        <v>13.5</v>
      </c>
    </row>
    <row r="19" spans="1:32" x14ac:dyDescent="0.3">
      <c r="A19" s="62" t="s">
        <v>239</v>
      </c>
      <c r="B19" s="6">
        <v>2444</v>
      </c>
      <c r="C19" s="63">
        <v>1</v>
      </c>
      <c r="D19" s="64">
        <v>0.99877400899060076</v>
      </c>
      <c r="E19" s="63">
        <v>0.75</v>
      </c>
      <c r="F19" s="63">
        <v>46.375711574952561</v>
      </c>
      <c r="G19" s="63">
        <v>0.5</v>
      </c>
      <c r="H19" s="65">
        <v>0.161620294599018</v>
      </c>
      <c r="I19" s="63">
        <v>0.75</v>
      </c>
      <c r="J19" s="63">
        <v>26.3</v>
      </c>
      <c r="K19" s="63">
        <v>1.25</v>
      </c>
      <c r="L19" s="63">
        <v>112.15277777777777</v>
      </c>
      <c r="M19" s="63">
        <v>1</v>
      </c>
      <c r="N19" s="65">
        <v>0.22176759410801963</v>
      </c>
      <c r="O19" s="63">
        <v>2</v>
      </c>
      <c r="P19" s="6">
        <v>8.52</v>
      </c>
      <c r="Q19" s="63">
        <v>1</v>
      </c>
      <c r="R19" s="65">
        <v>0.40752111292962356</v>
      </c>
      <c r="S19" s="63">
        <v>1</v>
      </c>
      <c r="T19" s="65">
        <v>0.48046235679214405</v>
      </c>
      <c r="U19" s="63">
        <v>1.5</v>
      </c>
      <c r="V19" s="65">
        <v>0.18009855348911144</v>
      </c>
      <c r="W19" s="63">
        <v>1</v>
      </c>
      <c r="X19" s="63">
        <v>11.75</v>
      </c>
      <c r="Y19" s="6" t="s">
        <v>225</v>
      </c>
      <c r="Z19" s="63">
        <v>0</v>
      </c>
      <c r="AA19" s="63">
        <v>35.311230065014904</v>
      </c>
      <c r="AB19" s="63">
        <v>1.5</v>
      </c>
      <c r="AC19" s="65">
        <v>6.8311195445920306E-2</v>
      </c>
      <c r="AD19" s="63">
        <v>2.25</v>
      </c>
      <c r="AE19" s="63">
        <v>3.75</v>
      </c>
      <c r="AF19" s="66">
        <v>15.5</v>
      </c>
    </row>
    <row r="20" spans="1:32" x14ac:dyDescent="0.3">
      <c r="A20" s="62" t="s">
        <v>240</v>
      </c>
      <c r="B20" s="6">
        <v>2483</v>
      </c>
      <c r="C20" s="63">
        <v>1</v>
      </c>
      <c r="D20" s="64">
        <v>0.95573518090839105</v>
      </c>
      <c r="E20" s="63">
        <v>0.75</v>
      </c>
      <c r="F20" s="63">
        <v>37.004470938897171</v>
      </c>
      <c r="G20" s="63">
        <v>0.5</v>
      </c>
      <c r="H20" s="65">
        <v>0.13934756343133306</v>
      </c>
      <c r="I20" s="63">
        <v>1</v>
      </c>
      <c r="J20" s="63">
        <v>31.4</v>
      </c>
      <c r="K20" s="63">
        <v>1.5</v>
      </c>
      <c r="L20" s="63">
        <v>100.40355125100888</v>
      </c>
      <c r="M20" s="63">
        <v>1</v>
      </c>
      <c r="N20" s="65">
        <v>0.14861055175191301</v>
      </c>
      <c r="O20" s="63">
        <v>1</v>
      </c>
      <c r="P20" s="6">
        <v>8.33</v>
      </c>
      <c r="Q20" s="63">
        <v>1</v>
      </c>
      <c r="R20" s="65">
        <v>0.40875207410390657</v>
      </c>
      <c r="S20" s="63">
        <v>1</v>
      </c>
      <c r="T20" s="65">
        <v>0.42166733789770439</v>
      </c>
      <c r="U20" s="63">
        <v>1.5</v>
      </c>
      <c r="V20" s="65">
        <v>0.13262879788639367</v>
      </c>
      <c r="W20" s="63">
        <v>1</v>
      </c>
      <c r="X20" s="63">
        <v>11.25</v>
      </c>
      <c r="Y20" s="6" t="s">
        <v>223</v>
      </c>
      <c r="Z20" s="63">
        <v>0.25</v>
      </c>
      <c r="AA20" s="63">
        <v>13.95016275210163</v>
      </c>
      <c r="AB20" s="63">
        <v>1.5</v>
      </c>
      <c r="AC20" s="65">
        <v>0.83144560357675112</v>
      </c>
      <c r="AD20" s="63">
        <v>3.25</v>
      </c>
      <c r="AE20" s="63">
        <v>5</v>
      </c>
      <c r="AF20" s="66">
        <v>16.25</v>
      </c>
    </row>
    <row r="21" spans="1:32" x14ac:dyDescent="0.3">
      <c r="A21" s="62" t="s">
        <v>241</v>
      </c>
      <c r="B21" s="6">
        <v>2864</v>
      </c>
      <c r="C21" s="63">
        <v>1</v>
      </c>
      <c r="D21" s="64">
        <v>1.0091613812544045</v>
      </c>
      <c r="E21" s="63">
        <v>0</v>
      </c>
      <c r="F21" s="63">
        <v>131.9815668202765</v>
      </c>
      <c r="G21" s="63">
        <v>0.25</v>
      </c>
      <c r="H21" s="65">
        <v>0.15956703910614525</v>
      </c>
      <c r="I21" s="63">
        <v>0.75</v>
      </c>
      <c r="J21" s="63">
        <v>26.6</v>
      </c>
      <c r="K21" s="63">
        <v>1.25</v>
      </c>
      <c r="L21" s="63">
        <v>99.721059972105991</v>
      </c>
      <c r="M21" s="63">
        <v>0.75</v>
      </c>
      <c r="N21" s="65">
        <v>0.20391061452513967</v>
      </c>
      <c r="O21" s="63">
        <v>2</v>
      </c>
      <c r="P21" s="6">
        <v>9.5</v>
      </c>
      <c r="Q21" s="63">
        <v>1</v>
      </c>
      <c r="R21" s="65">
        <v>0.39829839385474858</v>
      </c>
      <c r="S21" s="63">
        <v>1.25</v>
      </c>
      <c r="T21" s="65">
        <v>0.43610335195530725</v>
      </c>
      <c r="U21" s="63">
        <v>1.5</v>
      </c>
      <c r="V21" s="65">
        <v>8.5548172757475088E-2</v>
      </c>
      <c r="W21" s="63">
        <v>0.5</v>
      </c>
      <c r="X21" s="63">
        <v>10.25</v>
      </c>
      <c r="Y21" s="6" t="s">
        <v>225</v>
      </c>
      <c r="Z21" s="63">
        <v>0</v>
      </c>
      <c r="AA21" s="63">
        <v>30.8179832102586</v>
      </c>
      <c r="AB21" s="63">
        <v>1.5</v>
      </c>
      <c r="AC21" s="65">
        <v>0.10875576036866359</v>
      </c>
      <c r="AD21" s="63">
        <v>2.75</v>
      </c>
      <c r="AE21" s="63">
        <v>4.25</v>
      </c>
      <c r="AF21" s="66">
        <v>14.5</v>
      </c>
    </row>
    <row r="22" spans="1:32" x14ac:dyDescent="0.3">
      <c r="A22" s="62" t="s">
        <v>242</v>
      </c>
      <c r="B22" s="6">
        <v>3450</v>
      </c>
      <c r="C22" s="63">
        <v>0.75</v>
      </c>
      <c r="D22" s="64">
        <v>1.0105448154657293</v>
      </c>
      <c r="E22" s="63">
        <v>0</v>
      </c>
      <c r="F22" s="63">
        <v>121.05263157894737</v>
      </c>
      <c r="G22" s="63">
        <v>0.25</v>
      </c>
      <c r="H22" s="65">
        <v>0.1736231884057971</v>
      </c>
      <c r="I22" s="63">
        <v>0.75</v>
      </c>
      <c r="J22" s="63">
        <v>22</v>
      </c>
      <c r="K22" s="63">
        <v>1</v>
      </c>
      <c r="L22" s="63">
        <v>107.33173076923077</v>
      </c>
      <c r="M22" s="63">
        <v>1</v>
      </c>
      <c r="N22" s="65">
        <v>0.29478260869565215</v>
      </c>
      <c r="O22" s="63">
        <v>2</v>
      </c>
      <c r="P22" s="6">
        <v>9.69</v>
      </c>
      <c r="Q22" s="63">
        <v>1</v>
      </c>
      <c r="R22" s="65">
        <v>0.41230400000000006</v>
      </c>
      <c r="S22" s="63">
        <v>1</v>
      </c>
      <c r="T22" s="65">
        <v>0.5457971014492754</v>
      </c>
      <c r="U22" s="63">
        <v>1.5</v>
      </c>
      <c r="V22" s="65">
        <v>9.3852590923720614E-2</v>
      </c>
      <c r="W22" s="63">
        <v>0.5</v>
      </c>
      <c r="X22" s="63">
        <v>9.75</v>
      </c>
      <c r="Y22" s="6" t="s">
        <v>225</v>
      </c>
      <c r="Z22" s="63">
        <v>0</v>
      </c>
      <c r="AA22" s="63">
        <v>25.565046409544216</v>
      </c>
      <c r="AB22" s="63">
        <v>1.5</v>
      </c>
      <c r="AC22" s="65">
        <v>8.2807017543859648E-2</v>
      </c>
      <c r="AD22" s="63">
        <v>2.25</v>
      </c>
      <c r="AE22" s="63">
        <v>3.75</v>
      </c>
      <c r="AF22" s="66">
        <v>13.5</v>
      </c>
    </row>
    <row r="23" spans="1:32" x14ac:dyDescent="0.3">
      <c r="A23" s="62" t="s">
        <v>243</v>
      </c>
      <c r="B23" s="6">
        <v>1093</v>
      </c>
      <c r="C23" s="63">
        <v>1</v>
      </c>
      <c r="D23" s="64">
        <v>0.95458515283842793</v>
      </c>
      <c r="E23" s="63">
        <v>0.75</v>
      </c>
      <c r="F23" s="63">
        <v>100.27522935779817</v>
      </c>
      <c r="G23" s="63">
        <v>0.25</v>
      </c>
      <c r="H23" s="65">
        <v>0.10704483074107959</v>
      </c>
      <c r="I23" s="63">
        <v>1</v>
      </c>
      <c r="J23" s="63">
        <v>34.6</v>
      </c>
      <c r="K23" s="63">
        <v>1.5</v>
      </c>
      <c r="L23" s="63">
        <v>103.9179104477612</v>
      </c>
      <c r="M23" s="63">
        <v>1</v>
      </c>
      <c r="N23" s="65">
        <v>0.13632204940530648</v>
      </c>
      <c r="O23" s="63">
        <v>1</v>
      </c>
      <c r="P23" s="6">
        <v>8.75</v>
      </c>
      <c r="Q23" s="63">
        <v>1</v>
      </c>
      <c r="R23" s="65">
        <v>0.32736175663311984</v>
      </c>
      <c r="S23" s="63">
        <v>1.5</v>
      </c>
      <c r="T23" s="65">
        <v>0.30878316559926805</v>
      </c>
      <c r="U23" s="63">
        <v>2</v>
      </c>
      <c r="V23" s="65">
        <v>7.1349862258953164E-2</v>
      </c>
      <c r="W23" s="63">
        <v>0.5</v>
      </c>
      <c r="X23" s="63">
        <v>11.5</v>
      </c>
      <c r="Y23" s="6" t="s">
        <v>225</v>
      </c>
      <c r="Z23" s="63">
        <v>0</v>
      </c>
      <c r="AA23" s="63">
        <v>19.17878128474468</v>
      </c>
      <c r="AB23" s="63">
        <v>1.5</v>
      </c>
      <c r="AC23" s="65">
        <v>0</v>
      </c>
      <c r="AD23" s="63">
        <v>2.25</v>
      </c>
      <c r="AE23" s="63">
        <v>3.75</v>
      </c>
      <c r="AF23" s="66">
        <v>15.25</v>
      </c>
    </row>
    <row r="24" spans="1:32" x14ac:dyDescent="0.3">
      <c r="A24" s="62" t="s">
        <v>244</v>
      </c>
      <c r="B24" s="6">
        <v>4131</v>
      </c>
      <c r="C24" s="63">
        <v>0.75</v>
      </c>
      <c r="D24" s="64">
        <v>1.1007194244604317</v>
      </c>
      <c r="E24" s="63">
        <v>0</v>
      </c>
      <c r="F24" s="63">
        <v>308.28358208955223</v>
      </c>
      <c r="G24" s="63">
        <v>0.25</v>
      </c>
      <c r="H24" s="65">
        <v>0.17695473251028807</v>
      </c>
      <c r="I24" s="63">
        <v>0.75</v>
      </c>
      <c r="J24" s="63">
        <v>23.1</v>
      </c>
      <c r="K24" s="63">
        <v>1</v>
      </c>
      <c r="L24" s="63">
        <v>102.10371819960862</v>
      </c>
      <c r="M24" s="63">
        <v>1</v>
      </c>
      <c r="N24" s="65">
        <v>0.15855725006051805</v>
      </c>
      <c r="O24" s="63">
        <v>1.5</v>
      </c>
      <c r="P24" s="6">
        <v>11.73</v>
      </c>
      <c r="Q24" s="63">
        <v>1.75</v>
      </c>
      <c r="R24" s="65">
        <v>0.41355858145727431</v>
      </c>
      <c r="S24" s="63">
        <v>1</v>
      </c>
      <c r="T24" s="65">
        <v>0.40383684337932702</v>
      </c>
      <c r="U24" s="63">
        <v>1.5</v>
      </c>
      <c r="V24" s="65">
        <v>9.3185270546330731E-2</v>
      </c>
      <c r="W24" s="63">
        <v>0.5</v>
      </c>
      <c r="X24" s="63">
        <v>10</v>
      </c>
      <c r="Y24" s="6" t="s">
        <v>225</v>
      </c>
      <c r="Z24" s="63">
        <v>0</v>
      </c>
      <c r="AA24" s="63">
        <v>11.58978711117846</v>
      </c>
      <c r="AB24" s="63">
        <v>1.25</v>
      </c>
      <c r="AC24" s="65">
        <v>5.9701492537313433E-3</v>
      </c>
      <c r="AD24" s="63">
        <v>2.25</v>
      </c>
      <c r="AE24" s="63">
        <v>3.5</v>
      </c>
      <c r="AF24" s="66">
        <v>13.5</v>
      </c>
    </row>
    <row r="25" spans="1:32" x14ac:dyDescent="0.3">
      <c r="A25" s="62" t="s">
        <v>245</v>
      </c>
      <c r="B25" s="6">
        <v>5951</v>
      </c>
      <c r="C25" s="63">
        <v>0.25</v>
      </c>
      <c r="D25" s="64">
        <v>0.98104187273326737</v>
      </c>
      <c r="E25" s="63">
        <v>0.75</v>
      </c>
      <c r="F25" s="63">
        <v>67.319004524886878</v>
      </c>
      <c r="G25" s="63">
        <v>0.25</v>
      </c>
      <c r="H25" s="65">
        <v>0.16081330868761554</v>
      </c>
      <c r="I25" s="63">
        <v>0.75</v>
      </c>
      <c r="J25" s="63">
        <v>24</v>
      </c>
      <c r="K25" s="63">
        <v>1</v>
      </c>
      <c r="L25" s="63">
        <v>102.75979557069847</v>
      </c>
      <c r="M25" s="63">
        <v>1</v>
      </c>
      <c r="N25" s="65">
        <v>0.1883717022349185</v>
      </c>
      <c r="O25" s="63">
        <v>1.5</v>
      </c>
      <c r="P25" s="6">
        <v>9.8000000000000007</v>
      </c>
      <c r="Q25" s="63">
        <v>1</v>
      </c>
      <c r="R25" s="65">
        <v>0.41727383633002851</v>
      </c>
      <c r="S25" s="63">
        <v>1</v>
      </c>
      <c r="T25" s="65">
        <v>0.44055620904049742</v>
      </c>
      <c r="U25" s="63">
        <v>1.5</v>
      </c>
      <c r="V25" s="65">
        <v>7.424475166410649E-2</v>
      </c>
      <c r="W25" s="63">
        <v>0.5</v>
      </c>
      <c r="X25" s="63">
        <v>9.5</v>
      </c>
      <c r="Y25" s="6" t="s">
        <v>225</v>
      </c>
      <c r="Z25" s="63">
        <v>0</v>
      </c>
      <c r="AA25" s="63">
        <v>35.664153583457605</v>
      </c>
      <c r="AB25" s="63">
        <v>1.5</v>
      </c>
      <c r="AC25" s="65">
        <v>0.20192307692307693</v>
      </c>
      <c r="AD25" s="63">
        <v>3.25</v>
      </c>
      <c r="AE25" s="63">
        <v>4.75</v>
      </c>
      <c r="AF25" s="66">
        <v>14.25</v>
      </c>
    </row>
    <row r="26" spans="1:32" x14ac:dyDescent="0.3">
      <c r="A26" s="62" t="s">
        <v>246</v>
      </c>
      <c r="B26" s="6">
        <v>3738</v>
      </c>
      <c r="C26" s="63">
        <v>0.75</v>
      </c>
      <c r="D26" s="64">
        <v>1.033453137959635</v>
      </c>
      <c r="E26" s="63">
        <v>0</v>
      </c>
      <c r="F26" s="63">
        <v>128.89655172413794</v>
      </c>
      <c r="G26" s="63">
        <v>0.25</v>
      </c>
      <c r="H26" s="65">
        <v>0.15302300695559123</v>
      </c>
      <c r="I26" s="63">
        <v>0.75</v>
      </c>
      <c r="J26" s="63">
        <v>24.9</v>
      </c>
      <c r="K26" s="63">
        <v>1</v>
      </c>
      <c r="L26" s="63">
        <v>109.17739227756016</v>
      </c>
      <c r="M26" s="63">
        <v>1</v>
      </c>
      <c r="N26" s="65">
        <v>0.19636169074371321</v>
      </c>
      <c r="O26" s="63">
        <v>1.5</v>
      </c>
      <c r="P26" s="6">
        <v>9.7200000000000006</v>
      </c>
      <c r="Q26" s="63">
        <v>1</v>
      </c>
      <c r="R26" s="65">
        <v>0.41650080256821831</v>
      </c>
      <c r="S26" s="63">
        <v>1</v>
      </c>
      <c r="T26" s="65">
        <v>0.46013911182450506</v>
      </c>
      <c r="U26" s="63">
        <v>1.5</v>
      </c>
      <c r="V26" s="65">
        <v>0.18226041835576456</v>
      </c>
      <c r="W26" s="63">
        <v>1</v>
      </c>
      <c r="X26" s="63">
        <v>9.75</v>
      </c>
      <c r="Y26" s="6" t="s">
        <v>225</v>
      </c>
      <c r="Z26" s="63">
        <v>0</v>
      </c>
      <c r="AA26" s="63">
        <v>16.043645744509973</v>
      </c>
      <c r="AB26" s="63">
        <v>1.5</v>
      </c>
      <c r="AC26" s="65">
        <v>1.3793103448275864E-2</v>
      </c>
      <c r="AD26" s="63">
        <v>2.25</v>
      </c>
      <c r="AE26" s="63">
        <v>3.75</v>
      </c>
      <c r="AF26" s="66">
        <v>13.5</v>
      </c>
    </row>
    <row r="27" spans="1:32" x14ac:dyDescent="0.3">
      <c r="A27" s="62" t="s">
        <v>349</v>
      </c>
      <c r="B27" s="6"/>
      <c r="C27" s="63"/>
      <c r="D27" s="64"/>
      <c r="E27" s="63"/>
      <c r="F27" s="63"/>
      <c r="G27" s="63"/>
      <c r="H27" s="65"/>
      <c r="I27" s="63"/>
      <c r="J27" s="63"/>
      <c r="K27" s="63"/>
      <c r="L27" s="63"/>
      <c r="M27" s="63"/>
      <c r="N27" s="65"/>
      <c r="O27" s="63"/>
      <c r="P27" s="6"/>
      <c r="Q27" s="63"/>
      <c r="R27" s="65"/>
      <c r="S27" s="63"/>
      <c r="T27" s="65"/>
      <c r="U27" s="63"/>
      <c r="V27" s="65"/>
      <c r="W27" s="63"/>
      <c r="X27" s="63"/>
      <c r="Y27" s="6"/>
      <c r="Z27" s="63"/>
      <c r="AA27" s="63"/>
      <c r="AB27" s="63"/>
      <c r="AC27" s="65"/>
      <c r="AD27" s="63"/>
      <c r="AE27" s="63"/>
      <c r="AF27" s="66"/>
    </row>
    <row r="28" spans="1:32" x14ac:dyDescent="0.3">
      <c r="A28" s="62" t="s">
        <v>247</v>
      </c>
      <c r="B28" s="6">
        <v>37042</v>
      </c>
      <c r="C28" s="63">
        <v>0</v>
      </c>
      <c r="D28" s="64">
        <v>1.0503005557445844</v>
      </c>
      <c r="E28" s="63">
        <v>0</v>
      </c>
      <c r="F28" s="63">
        <v>171.72925359295317</v>
      </c>
      <c r="G28" s="63">
        <v>0.25</v>
      </c>
      <c r="H28" s="65">
        <v>0.15898169645267535</v>
      </c>
      <c r="I28" s="63">
        <v>0.75</v>
      </c>
      <c r="J28" s="63">
        <v>23.8</v>
      </c>
      <c r="K28" s="63">
        <v>1</v>
      </c>
      <c r="L28" s="63">
        <v>97.757727830868618</v>
      </c>
      <c r="M28" s="63">
        <v>0.75</v>
      </c>
      <c r="N28" s="65">
        <v>0.2164030019977323</v>
      </c>
      <c r="O28" s="63">
        <v>2</v>
      </c>
      <c r="P28" s="6">
        <v>10.84</v>
      </c>
      <c r="Q28" s="63">
        <v>1.75</v>
      </c>
      <c r="R28" s="65">
        <v>0.40462408077317641</v>
      </c>
      <c r="S28" s="63">
        <v>1</v>
      </c>
      <c r="T28" s="65">
        <v>0.38878165325846337</v>
      </c>
      <c r="U28" s="63">
        <v>1.75</v>
      </c>
      <c r="V28" s="65">
        <v>3.5322769514413141E-2</v>
      </c>
      <c r="W28" s="63">
        <v>0.5</v>
      </c>
      <c r="X28" s="63">
        <v>9.75</v>
      </c>
      <c r="Y28" s="6" t="s">
        <v>225</v>
      </c>
      <c r="Z28" s="63">
        <v>0</v>
      </c>
      <c r="AA28" s="63">
        <v>0</v>
      </c>
      <c r="AB28" s="63">
        <v>1.25</v>
      </c>
      <c r="AC28" s="65">
        <v>0.19058878071395458</v>
      </c>
      <c r="AD28" s="63">
        <v>2.75</v>
      </c>
      <c r="AE28" s="63">
        <v>4</v>
      </c>
      <c r="AF28" s="66">
        <v>13.75</v>
      </c>
    </row>
    <row r="29" spans="1:32" x14ac:dyDescent="0.3">
      <c r="A29" s="62" t="s">
        <v>248</v>
      </c>
      <c r="B29" s="6">
        <v>132</v>
      </c>
      <c r="C29" s="63">
        <v>1.5</v>
      </c>
      <c r="D29" s="64">
        <v>1.064516129032258</v>
      </c>
      <c r="E29" s="63">
        <v>0</v>
      </c>
      <c r="F29" s="63">
        <v>34.736842105263158</v>
      </c>
      <c r="G29" s="63">
        <v>0.5</v>
      </c>
      <c r="H29" s="65">
        <v>9.8484848484848481E-2</v>
      </c>
      <c r="I29" s="63">
        <v>1</v>
      </c>
      <c r="J29" s="63">
        <v>36.4</v>
      </c>
      <c r="K29" s="63">
        <v>1.5</v>
      </c>
      <c r="L29" s="63">
        <v>78.378378378378372</v>
      </c>
      <c r="M29" s="63">
        <v>0.75</v>
      </c>
      <c r="N29" s="65">
        <v>0.25</v>
      </c>
      <c r="O29" s="63">
        <v>2</v>
      </c>
      <c r="P29" s="6">
        <v>11.11</v>
      </c>
      <c r="Q29" s="63">
        <v>1.75</v>
      </c>
      <c r="R29" s="65">
        <v>0.33770454545454542</v>
      </c>
      <c r="S29" s="63">
        <v>1.5</v>
      </c>
      <c r="T29" s="65">
        <v>0.28030303030303028</v>
      </c>
      <c r="U29" s="63">
        <v>2</v>
      </c>
      <c r="V29" s="65">
        <v>0.19121447028423774</v>
      </c>
      <c r="W29" s="63">
        <v>1</v>
      </c>
      <c r="X29" s="63">
        <v>13.5</v>
      </c>
      <c r="Y29" s="6" t="s">
        <v>223</v>
      </c>
      <c r="Z29" s="63">
        <v>0.25</v>
      </c>
      <c r="AA29" s="63">
        <v>16.963759873546675</v>
      </c>
      <c r="AB29" s="63">
        <v>1.5</v>
      </c>
      <c r="AC29" s="65">
        <v>0</v>
      </c>
      <c r="AD29" s="63">
        <v>2.25</v>
      </c>
      <c r="AE29" s="63">
        <v>4</v>
      </c>
      <c r="AF29" s="66">
        <v>17.5</v>
      </c>
    </row>
    <row r="30" spans="1:32" x14ac:dyDescent="0.3">
      <c r="A30" s="62" t="s">
        <v>249</v>
      </c>
      <c r="B30" s="6">
        <v>2430</v>
      </c>
      <c r="C30" s="63">
        <v>1</v>
      </c>
      <c r="D30" s="64">
        <v>0.94847775175644033</v>
      </c>
      <c r="E30" s="63">
        <v>0.75</v>
      </c>
      <c r="F30" s="63">
        <v>48.697394789579157</v>
      </c>
      <c r="G30" s="63">
        <v>0.5</v>
      </c>
      <c r="H30" s="65">
        <v>0.14115226337448561</v>
      </c>
      <c r="I30" s="63">
        <v>1</v>
      </c>
      <c r="J30" s="63">
        <v>32</v>
      </c>
      <c r="K30" s="63">
        <v>1.5</v>
      </c>
      <c r="L30" s="63">
        <v>101.99501246882794</v>
      </c>
      <c r="M30" s="63">
        <v>1</v>
      </c>
      <c r="N30" s="65">
        <v>0.16502057613168725</v>
      </c>
      <c r="O30" s="63">
        <v>1.5</v>
      </c>
      <c r="P30" s="6">
        <v>9.01</v>
      </c>
      <c r="Q30" s="63">
        <v>1</v>
      </c>
      <c r="R30" s="65">
        <v>0.39997432098765429</v>
      </c>
      <c r="S30" s="63">
        <v>1.25</v>
      </c>
      <c r="T30" s="65">
        <v>0.46141975308641975</v>
      </c>
      <c r="U30" s="63">
        <v>1.5</v>
      </c>
      <c r="V30" s="65">
        <v>0.15531914893617021</v>
      </c>
      <c r="W30" s="63">
        <v>1</v>
      </c>
      <c r="X30" s="63">
        <v>12</v>
      </c>
      <c r="Y30" s="6" t="s">
        <v>225</v>
      </c>
      <c r="Z30" s="63">
        <v>0</v>
      </c>
      <c r="AA30" s="63">
        <v>16.315833600111468</v>
      </c>
      <c r="AB30" s="63">
        <v>1.5</v>
      </c>
      <c r="AC30" s="65">
        <v>0.27515030060120244</v>
      </c>
      <c r="AD30" s="63">
        <v>3.25</v>
      </c>
      <c r="AE30" s="63">
        <v>4.75</v>
      </c>
      <c r="AF30" s="66">
        <v>16.75</v>
      </c>
    </row>
    <row r="31" spans="1:32" ht="15" thickBot="1" x14ac:dyDescent="0.35">
      <c r="A31" s="67" t="s">
        <v>250</v>
      </c>
      <c r="B31" s="24">
        <v>2883</v>
      </c>
      <c r="C31" s="68">
        <v>1</v>
      </c>
      <c r="D31" s="69">
        <v>0.96196196196196193</v>
      </c>
      <c r="E31" s="68">
        <v>0.75</v>
      </c>
      <c r="F31" s="68">
        <v>61.602564102564109</v>
      </c>
      <c r="G31" s="68">
        <v>0.25</v>
      </c>
      <c r="H31" s="70">
        <v>0.16614637530350329</v>
      </c>
      <c r="I31" s="68">
        <v>0.75</v>
      </c>
      <c r="J31" s="68">
        <v>25.6</v>
      </c>
      <c r="K31" s="68">
        <v>1.25</v>
      </c>
      <c r="L31" s="68">
        <v>102.17391304347827</v>
      </c>
      <c r="M31" s="68">
        <v>1</v>
      </c>
      <c r="N31" s="70">
        <v>0.25563648976760317</v>
      </c>
      <c r="O31" s="68">
        <v>2</v>
      </c>
      <c r="P31" s="24">
        <v>10.050000000000001</v>
      </c>
      <c r="Q31" s="68">
        <v>1.75</v>
      </c>
      <c r="R31" s="70">
        <v>0.40657648283038506</v>
      </c>
      <c r="S31" s="68">
        <v>1</v>
      </c>
      <c r="T31" s="70">
        <v>0.51829691293791191</v>
      </c>
      <c r="U31" s="68">
        <v>1.5</v>
      </c>
      <c r="V31" s="70">
        <v>0.14284711990458152</v>
      </c>
      <c r="W31" s="68">
        <v>1</v>
      </c>
      <c r="X31" s="68">
        <v>12.25</v>
      </c>
      <c r="Y31" s="24" t="s">
        <v>225</v>
      </c>
      <c r="Z31" s="68">
        <v>0</v>
      </c>
      <c r="AA31" s="68">
        <v>26.441012261874555</v>
      </c>
      <c r="AB31" s="68">
        <v>1.5</v>
      </c>
      <c r="AC31" s="70">
        <v>6.623931623931624E-2</v>
      </c>
      <c r="AD31" s="68">
        <v>2.25</v>
      </c>
      <c r="AE31" s="68">
        <v>3.75</v>
      </c>
      <c r="AF31" s="71">
        <v>16</v>
      </c>
    </row>
  </sheetData>
  <mergeCells count="32">
    <mergeCell ref="Y2:Z2"/>
    <mergeCell ref="AA2:AB2"/>
    <mergeCell ref="AC2:AD2"/>
    <mergeCell ref="AE2:AE3"/>
    <mergeCell ref="N2:O2"/>
    <mergeCell ref="P2:Q2"/>
    <mergeCell ref="R2:S2"/>
    <mergeCell ref="T2:U2"/>
    <mergeCell ref="V2:W2"/>
    <mergeCell ref="X2:X3"/>
    <mergeCell ref="Y1:Z1"/>
    <mergeCell ref="AA1:AB1"/>
    <mergeCell ref="AC1:AD1"/>
    <mergeCell ref="AF1:AF3"/>
    <mergeCell ref="B2:C2"/>
    <mergeCell ref="D2:E2"/>
    <mergeCell ref="F2:G2"/>
    <mergeCell ref="H2:I2"/>
    <mergeCell ref="J2:K2"/>
    <mergeCell ref="L2:M2"/>
    <mergeCell ref="L1:M1"/>
    <mergeCell ref="N1:O1"/>
    <mergeCell ref="P1:Q1"/>
    <mergeCell ref="R1:S1"/>
    <mergeCell ref="T1:U1"/>
    <mergeCell ref="V1:W1"/>
    <mergeCell ref="J1:K1"/>
    <mergeCell ref="A1:A3"/>
    <mergeCell ref="B1:C1"/>
    <mergeCell ref="D1:E1"/>
    <mergeCell ref="F1:G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BAREMACIÓN PROYECTO</vt:lpstr>
      <vt:lpstr>Referencias NO Productivos</vt:lpstr>
      <vt:lpstr>Hoja1</vt:lpstr>
      <vt:lpstr>'BAREMACIÓN PROYECTO'!Área_de_impresión</vt:lpstr>
      <vt:lpstr>'BAREMACIÓN PROYECTO'!Títulos_a_imprimir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Mostajo</dc:creator>
  <cp:lastModifiedBy>ELENA HERNANDEZ</cp:lastModifiedBy>
  <cp:lastPrinted>2023-11-22T10:42:44Z</cp:lastPrinted>
  <dcterms:created xsi:type="dcterms:W3CDTF">2023-06-01T09:12:49Z</dcterms:created>
  <dcterms:modified xsi:type="dcterms:W3CDTF">2024-11-08T08:50:32Z</dcterms:modified>
</cp:coreProperties>
</file>